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https://bipartisan.sharepoint.com/Health/Shared Documents/RWJF/Medicare Trust Funds/"/>
    </mc:Choice>
  </mc:AlternateContent>
  <xr:revisionPtr revIDLastSave="819" documentId="8_{5AF10264-03AE-4691-92B6-2EBFAFBDF443}" xr6:coauthVersionLast="46" xr6:coauthVersionMax="46" xr10:uidLastSave="{8DA8FC3E-08A6-42B3-8C04-5ECB633014DA}"/>
  <bookViews>
    <workbookView xWindow="-120" yWindow="-120" windowWidth="29040" windowHeight="15840" xr2:uid="{DF837A23-9FE5-4FAA-9FDC-E2AC70CDCA40}"/>
  </bookViews>
  <sheets>
    <sheet name="Insolvency Years and Savings" sheetId="4" r:id="rId1"/>
    <sheet name="Proposals" sheetId="1" r:id="rId2"/>
    <sheet name="Calculations" sheetId="3" r:id="rId3"/>
    <sheet name="CBO Feb '21 Trust Fund Proj." sheetId="5" r:id="rId4"/>
    <sheet name="CBO Sept '20 Baseline Proj."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9" i="4" l="1"/>
  <c r="W19" i="4"/>
  <c r="V19" i="4"/>
  <c r="U19" i="4"/>
  <c r="T19" i="4"/>
  <c r="S19" i="4"/>
  <c r="R19" i="4"/>
  <c r="Q19" i="4"/>
  <c r="P19" i="4"/>
  <c r="O19" i="4"/>
  <c r="N19" i="4"/>
  <c r="L19" i="4"/>
  <c r="M19" i="4"/>
  <c r="O18" i="4"/>
  <c r="O20" i="4"/>
  <c r="S18" i="4"/>
  <c r="R18" i="4"/>
  <c r="Q18" i="4"/>
  <c r="P18" i="4"/>
  <c r="N18" i="4"/>
  <c r="M18" i="4"/>
  <c r="L17" i="4"/>
  <c r="K17" i="4"/>
  <c r="E8" i="4"/>
  <c r="R26" i="4"/>
  <c r="R25" i="4"/>
  <c r="W25" i="4"/>
  <c r="V25" i="4"/>
  <c r="X27" i="4"/>
  <c r="X30" i="4"/>
  <c r="X33" i="4"/>
  <c r="X26" i="4"/>
  <c r="X25" i="4"/>
  <c r="F16" i="4"/>
  <c r="T13" i="4"/>
  <c r="W9" i="4"/>
  <c r="U12" i="4"/>
  <c r="V11" i="4"/>
  <c r="V10" i="4"/>
  <c r="B8" i="4"/>
  <c r="D22" i="4"/>
  <c r="E22" i="4" s="1"/>
  <c r="F22" i="4" s="1"/>
  <c r="C22" i="4"/>
  <c r="D11" i="4"/>
  <c r="E11" i="4" s="1"/>
  <c r="F11" i="4" s="1"/>
  <c r="C11" i="4"/>
  <c r="H24" i="3"/>
  <c r="G24" i="3"/>
  <c r="F24" i="3"/>
  <c r="J23" i="3"/>
  <c r="K23" i="3" s="1"/>
  <c r="L23" i="3" s="1"/>
  <c r="M23" i="3" s="1"/>
  <c r="N23" i="3" s="1"/>
  <c r="O23" i="3" s="1"/>
  <c r="P23" i="3" s="1"/>
  <c r="Q23" i="3" s="1"/>
  <c r="R23" i="3" s="1"/>
  <c r="I23" i="3"/>
  <c r="H23" i="3"/>
  <c r="E24" i="3"/>
  <c r="D24" i="3"/>
  <c r="R22" i="3"/>
  <c r="I22" i="3"/>
  <c r="J22" i="3" s="1"/>
  <c r="K22" i="3" s="1"/>
  <c r="L22" i="3" s="1"/>
  <c r="M22" i="3" s="1"/>
  <c r="N22" i="3" s="1"/>
  <c r="O22" i="3" s="1"/>
  <c r="P22" i="3" s="1"/>
  <c r="Q22" i="3" s="1"/>
  <c r="H22" i="3"/>
  <c r="G22" i="3"/>
  <c r="F21" i="3"/>
  <c r="E20" i="3"/>
  <c r="D19" i="3"/>
  <c r="H21" i="3"/>
  <c r="I21" i="3" s="1"/>
  <c r="J21" i="3" s="1"/>
  <c r="K21" i="3" s="1"/>
  <c r="L21" i="3" s="1"/>
  <c r="M21" i="3" s="1"/>
  <c r="N21" i="3" s="1"/>
  <c r="O21" i="3" s="1"/>
  <c r="P21" i="3" s="1"/>
  <c r="Q21" i="3" s="1"/>
  <c r="R21" i="3" s="1"/>
  <c r="G21" i="3"/>
  <c r="G20" i="3"/>
  <c r="H20" i="3" s="1"/>
  <c r="I20" i="3" s="1"/>
  <c r="J20" i="3" s="1"/>
  <c r="K20" i="3" s="1"/>
  <c r="L20" i="3" s="1"/>
  <c r="M20" i="3" s="1"/>
  <c r="N20" i="3" s="1"/>
  <c r="O20" i="3" s="1"/>
  <c r="P20" i="3" s="1"/>
  <c r="Q20" i="3" s="1"/>
  <c r="R20" i="3" s="1"/>
  <c r="F20" i="3"/>
  <c r="F19" i="3"/>
  <c r="E19" i="3"/>
  <c r="O15" i="3"/>
  <c r="D16" i="3"/>
  <c r="D17" i="3" s="1"/>
  <c r="E16" i="3"/>
  <c r="E17" i="3" s="1"/>
  <c r="F16" i="3"/>
  <c r="F17" i="3" s="1"/>
  <c r="G16" i="3"/>
  <c r="G17" i="3" s="1"/>
  <c r="H16" i="3"/>
  <c r="H17" i="3" s="1"/>
  <c r="I16" i="3"/>
  <c r="I17" i="3" s="1"/>
  <c r="J16" i="3"/>
  <c r="J17" i="3" s="1"/>
  <c r="K16" i="3"/>
  <c r="K17" i="3" s="1"/>
  <c r="L16" i="3"/>
  <c r="L17" i="3" s="1"/>
  <c r="M16" i="3"/>
  <c r="M17" i="3" s="1"/>
  <c r="N16" i="3"/>
  <c r="N17" i="3" s="1"/>
  <c r="P15" i="3" l="1"/>
  <c r="Q15" i="3" s="1"/>
  <c r="R15" i="3" s="1"/>
  <c r="G19" i="3" l="1"/>
  <c r="H19" i="3" l="1"/>
  <c r="I19" i="3" l="1"/>
  <c r="J19" i="3" l="1"/>
  <c r="K19" i="3" l="1"/>
  <c r="L19" i="3" s="1"/>
  <c r="M19" i="3" s="1"/>
  <c r="N19" i="3" l="1"/>
  <c r="N3" i="3" l="1"/>
  <c r="D8" i="3"/>
  <c r="O7" i="3"/>
  <c r="P7" i="3" s="1"/>
  <c r="Q7" i="3" s="1"/>
  <c r="P6" i="4"/>
  <c r="H8" i="3" l="1"/>
  <c r="B43" i="4"/>
  <c r="C43" i="4"/>
  <c r="D43" i="4"/>
  <c r="L45" i="4" s="1"/>
  <c r="E43" i="4"/>
  <c r="M46" i="4" s="1"/>
  <c r="F43" i="4"/>
  <c r="B36" i="4"/>
  <c r="D5" i="3"/>
  <c r="F6" i="5"/>
  <c r="G6" i="5" s="1"/>
  <c r="H6" i="5" s="1"/>
  <c r="I6" i="5" s="1"/>
  <c r="J6" i="5" s="1"/>
  <c r="K6" i="5" s="1"/>
  <c r="L6" i="5" s="1"/>
  <c r="M6" i="5" s="1"/>
  <c r="N6" i="5" s="1"/>
  <c r="O6" i="5" s="1"/>
  <c r="P6" i="5" s="1"/>
  <c r="C36" i="4"/>
  <c r="I6" i="4" l="1"/>
  <c r="I7" i="4"/>
  <c r="J2" i="4" s="1"/>
  <c r="B21" i="4"/>
  <c r="B17" i="4" s="1"/>
  <c r="E14" i="3"/>
  <c r="F14" i="3"/>
  <c r="G14" i="3"/>
  <c r="H14" i="3"/>
  <c r="D14" i="3"/>
  <c r="B10" i="4"/>
  <c r="C10" i="4" s="1"/>
  <c r="N4" i="3"/>
  <c r="O4" i="3" s="1"/>
  <c r="P4" i="3" s="1"/>
  <c r="Q4" i="3" s="1"/>
  <c r="E5" i="3" l="1"/>
  <c r="E6" i="3" s="1"/>
  <c r="D10" i="4"/>
  <c r="E10" i="4" s="1"/>
  <c r="F10" i="4" s="1"/>
  <c r="O3" i="3"/>
  <c r="P3" i="3" s="1"/>
  <c r="F5" i="3" l="1"/>
  <c r="F6" i="3" s="1"/>
  <c r="Q3" i="3" l="1"/>
  <c r="H5" i="3" s="1"/>
  <c r="G5" i="3"/>
  <c r="G6" i="3" s="1"/>
  <c r="H6" i="3" l="1"/>
  <c r="H12" i="3" l="1"/>
  <c r="F33" i="4" s="1"/>
  <c r="E12" i="3"/>
  <c r="C33" i="4" s="1"/>
  <c r="F12" i="3"/>
  <c r="D33" i="4" s="1"/>
  <c r="G12" i="3"/>
  <c r="E33" i="4" s="1"/>
  <c r="D12" i="3"/>
  <c r="B33" i="4" s="1"/>
  <c r="E9" i="3"/>
  <c r="F9" i="3"/>
  <c r="G9" i="3"/>
  <c r="H9" i="3"/>
  <c r="I9" i="3"/>
  <c r="J9" i="3"/>
  <c r="K9" i="3"/>
  <c r="L9" i="3"/>
  <c r="M9" i="3"/>
  <c r="N9" i="3"/>
  <c r="O9" i="3"/>
  <c r="P9" i="3"/>
  <c r="Q9" i="3"/>
  <c r="D9" i="3"/>
  <c r="G10" i="3" l="1"/>
  <c r="F10" i="3"/>
  <c r="E10" i="3"/>
  <c r="D10" i="3"/>
  <c r="H10" i="3"/>
  <c r="R16" i="3"/>
  <c r="R17" i="3" s="1"/>
  <c r="Q16" i="3"/>
  <c r="Q17" i="3" s="1"/>
  <c r="P16" i="3"/>
  <c r="P17" i="3" s="1"/>
  <c r="O16" i="3"/>
  <c r="O17" i="3" s="1"/>
  <c r="E8" i="3" l="1"/>
  <c r="F8" i="3"/>
  <c r="G8" i="3"/>
  <c r="C21" i="4" l="1"/>
  <c r="D21" i="4"/>
  <c r="E21" i="4"/>
  <c r="F21" i="4"/>
  <c r="C20" i="4"/>
  <c r="D20" i="4" s="1"/>
  <c r="E20" i="4" l="1"/>
  <c r="D17" i="4"/>
  <c r="C17" i="4"/>
  <c r="J6" i="4"/>
  <c r="K6" i="4"/>
  <c r="L6" i="4"/>
  <c r="M6" i="4"/>
  <c r="N6" i="4"/>
  <c r="O6" i="4"/>
  <c r="Q6" i="4"/>
  <c r="R6" i="4"/>
  <c r="S6" i="4"/>
  <c r="T6" i="4"/>
  <c r="U6" i="4"/>
  <c r="V6" i="4"/>
  <c r="W6" i="4"/>
  <c r="X6" i="4"/>
  <c r="C27" i="4"/>
  <c r="D27" i="4" s="1"/>
  <c r="E27" i="4" s="1"/>
  <c r="F27" i="4" s="1"/>
  <c r="C30" i="4"/>
  <c r="D30" i="4" s="1"/>
  <c r="E30" i="4" s="1"/>
  <c r="F30" i="4" s="1"/>
  <c r="F20" i="4" l="1"/>
  <c r="F17" i="4" s="1"/>
  <c r="E17" i="4"/>
  <c r="B25" i="4"/>
  <c r="J25" i="4" s="1"/>
  <c r="D36" i="4"/>
  <c r="E36" i="4"/>
  <c r="F36" i="4"/>
  <c r="C12" i="4"/>
  <c r="J7" i="4"/>
  <c r="J17" i="4" s="1"/>
  <c r="O19" i="3" l="1"/>
  <c r="D12" i="4"/>
  <c r="E12" i="4" s="1"/>
  <c r="F12" i="4" s="1"/>
  <c r="C9" i="4"/>
  <c r="M17" i="4"/>
  <c r="N17" i="4" s="1"/>
  <c r="O17" i="4" s="1"/>
  <c r="P17" i="4" s="1"/>
  <c r="Q17" i="4" s="1"/>
  <c r="R17" i="4" s="1"/>
  <c r="S17" i="4" s="1"/>
  <c r="K2" i="4"/>
  <c r="K7" i="4" s="1"/>
  <c r="K25" i="4"/>
  <c r="K44" i="4"/>
  <c r="L44" i="4" s="1"/>
  <c r="M44" i="4" s="1"/>
  <c r="N44" i="4" s="1"/>
  <c r="J36" i="4"/>
  <c r="J43" i="4"/>
  <c r="K43" i="4" s="1"/>
  <c r="L43" i="4" s="1"/>
  <c r="M43" i="4" s="1"/>
  <c r="N43" i="4" s="1"/>
  <c r="O43" i="4" s="1"/>
  <c r="O44" i="4" l="1"/>
  <c r="P44" i="4" s="1"/>
  <c r="Q44" i="4" s="1"/>
  <c r="R44" i="4" s="1"/>
  <c r="S44" i="4" s="1"/>
  <c r="C42" i="4" s="1"/>
  <c r="P19" i="3"/>
  <c r="Q19" i="3" s="1"/>
  <c r="R19" i="3" s="1"/>
  <c r="K36" i="4"/>
  <c r="L36" i="4" s="1"/>
  <c r="M36" i="4" s="1"/>
  <c r="N36" i="4" s="1"/>
  <c r="O36" i="4" s="1"/>
  <c r="P36" i="4" s="1"/>
  <c r="Q36" i="4" s="1"/>
  <c r="T17" i="4"/>
  <c r="U17" i="4" s="1"/>
  <c r="V17" i="4" s="1"/>
  <c r="W17" i="4" s="1"/>
  <c r="X17" i="4" s="1"/>
  <c r="B16" i="4"/>
  <c r="K18" i="4"/>
  <c r="L18" i="4" s="1"/>
  <c r="L2" i="4"/>
  <c r="L7" i="4" s="1"/>
  <c r="P43" i="4"/>
  <c r="Q43" i="4" s="1"/>
  <c r="R43" i="4" s="1"/>
  <c r="S43" i="4" s="1"/>
  <c r="B42" i="4" s="1"/>
  <c r="L25" i="4"/>
  <c r="M25" i="4" s="1"/>
  <c r="N25" i="4" s="1"/>
  <c r="O25" i="4" s="1"/>
  <c r="P25" i="4" s="1"/>
  <c r="Q25" i="4" s="1"/>
  <c r="S25" i="4" s="1"/>
  <c r="B24" i="4" s="1"/>
  <c r="T18" i="4" l="1"/>
  <c r="U18" i="4" s="1"/>
  <c r="V18" i="4" s="1"/>
  <c r="W18" i="4" s="1"/>
  <c r="X18" i="4" s="1"/>
  <c r="C16" i="4"/>
  <c r="L38" i="4"/>
  <c r="M38" i="4" s="1"/>
  <c r="N38" i="4" s="1"/>
  <c r="O38" i="4" s="1"/>
  <c r="P38" i="4" s="1"/>
  <c r="Q38" i="4" s="1"/>
  <c r="R38" i="4" s="1"/>
  <c r="S38" i="4" s="1"/>
  <c r="M45" i="4"/>
  <c r="N45" i="4" s="1"/>
  <c r="O45" i="4" s="1"/>
  <c r="P45" i="4" s="1"/>
  <c r="Q45" i="4" s="1"/>
  <c r="R45" i="4" s="1"/>
  <c r="S45" i="4" s="1"/>
  <c r="D42" i="4" s="1"/>
  <c r="M2" i="4"/>
  <c r="M7" i="4" s="1"/>
  <c r="T25" i="4"/>
  <c r="U25" i="4" s="1"/>
  <c r="F25" i="4"/>
  <c r="N33" i="4" s="1"/>
  <c r="T38" i="4" l="1"/>
  <c r="U38" i="4" s="1"/>
  <c r="V38" i="4" s="1"/>
  <c r="W38" i="4" s="1"/>
  <c r="X38" i="4" s="1"/>
  <c r="D35" i="4"/>
  <c r="N2" i="4"/>
  <c r="N7" i="4" s="1"/>
  <c r="M20" i="4"/>
  <c r="N20" i="4" s="1"/>
  <c r="P20" i="4" s="1"/>
  <c r="Q20" i="4" s="1"/>
  <c r="R20" i="4" s="1"/>
  <c r="S20" i="4" s="1"/>
  <c r="M39" i="4"/>
  <c r="N39" i="4" s="1"/>
  <c r="O39" i="4" s="1"/>
  <c r="P39" i="4" s="1"/>
  <c r="Q39" i="4" s="1"/>
  <c r="R39" i="4" s="1"/>
  <c r="S39" i="4" s="1"/>
  <c r="N46" i="4"/>
  <c r="O46" i="4" s="1"/>
  <c r="P46" i="4" s="1"/>
  <c r="Q46" i="4" s="1"/>
  <c r="R46" i="4" s="1"/>
  <c r="S46" i="4" s="1"/>
  <c r="E42" i="4" s="1"/>
  <c r="O33" i="4"/>
  <c r="E25" i="4"/>
  <c r="M30" i="4" s="1"/>
  <c r="D25" i="4"/>
  <c r="C25" i="4"/>
  <c r="B9" i="4"/>
  <c r="J9" i="4" s="1"/>
  <c r="D16" i="4" l="1"/>
  <c r="T20" i="4"/>
  <c r="U20" i="4" s="1"/>
  <c r="V20" i="4" s="1"/>
  <c r="W20" i="4" s="1"/>
  <c r="X20" i="4" s="1"/>
  <c r="E16" i="4"/>
  <c r="T39" i="4"/>
  <c r="U39" i="4" s="1"/>
  <c r="V39" i="4" s="1"/>
  <c r="W39" i="4" s="1"/>
  <c r="X39" i="4" s="1"/>
  <c r="E35" i="4"/>
  <c r="K9" i="4"/>
  <c r="L9" i="4" s="1"/>
  <c r="M9" i="4" s="1"/>
  <c r="N9" i="4" s="1"/>
  <c r="O9" i="4" s="1"/>
  <c r="P9" i="4" s="1"/>
  <c r="Q9" i="4" s="1"/>
  <c r="R9" i="4" s="1"/>
  <c r="S9" i="4" s="1"/>
  <c r="O2" i="4"/>
  <c r="O7" i="4" s="1"/>
  <c r="P2" i="4" s="1"/>
  <c r="P7" i="4" s="1"/>
  <c r="Q2" i="4" s="1"/>
  <c r="Q7" i="4" s="1"/>
  <c r="N21" i="4"/>
  <c r="O21" i="4" s="1"/>
  <c r="P21" i="4" s="1"/>
  <c r="Q21" i="4" s="1"/>
  <c r="R21" i="4" s="1"/>
  <c r="S21" i="4" s="1"/>
  <c r="N40" i="4"/>
  <c r="O40" i="4" s="1"/>
  <c r="P40" i="4" s="1"/>
  <c r="Q40" i="4" s="1"/>
  <c r="R40" i="4" s="1"/>
  <c r="S40" i="4" s="1"/>
  <c r="N47" i="4"/>
  <c r="O47" i="4" s="1"/>
  <c r="P47" i="4" s="1"/>
  <c r="Q47" i="4" s="1"/>
  <c r="R47" i="4" s="1"/>
  <c r="S47" i="4" s="1"/>
  <c r="F42" i="4" s="1"/>
  <c r="R2" i="4"/>
  <c r="R7" i="4" s="1"/>
  <c r="S2" i="4" s="1"/>
  <c r="K26" i="4"/>
  <c r="L26" i="4" s="1"/>
  <c r="M26" i="4" s="1"/>
  <c r="P33" i="4"/>
  <c r="N30" i="4"/>
  <c r="L27" i="4"/>
  <c r="N26" i="4" l="1"/>
  <c r="O26" i="4" s="1"/>
  <c r="P26" i="4" s="1"/>
  <c r="Q26" i="4" s="1"/>
  <c r="S26" i="4" s="1"/>
  <c r="C24" i="4" s="1"/>
  <c r="R36" i="4"/>
  <c r="S36" i="4" s="1"/>
  <c r="T9" i="4"/>
  <c r="U9" i="4" s="1"/>
  <c r="V9" i="4" s="1"/>
  <c r="T21" i="4"/>
  <c r="U21" i="4" s="1"/>
  <c r="V21" i="4" s="1"/>
  <c r="W21" i="4" s="1"/>
  <c r="X21" i="4" s="1"/>
  <c r="T40" i="4"/>
  <c r="U40" i="4" s="1"/>
  <c r="V40" i="4" s="1"/>
  <c r="W40" i="4" s="1"/>
  <c r="X40" i="4" s="1"/>
  <c r="F35" i="4"/>
  <c r="S7" i="4"/>
  <c r="O30" i="4"/>
  <c r="M27" i="4"/>
  <c r="Q33" i="4"/>
  <c r="T26" i="4" l="1"/>
  <c r="U26" i="4" s="1"/>
  <c r="V26" i="4" s="1"/>
  <c r="W26" i="4" s="1"/>
  <c r="B35" i="4"/>
  <c r="T36" i="4"/>
  <c r="U36" i="4" s="1"/>
  <c r="V36" i="4" s="1"/>
  <c r="W36" i="4" s="1"/>
  <c r="X36" i="4" s="1"/>
  <c r="T2" i="4"/>
  <c r="T7" i="4" s="1"/>
  <c r="P30" i="4"/>
  <c r="R33" i="4"/>
  <c r="N27" i="4"/>
  <c r="K10" i="4"/>
  <c r="L10" i="4" s="1"/>
  <c r="M10" i="4" s="1"/>
  <c r="N10" i="4" s="1"/>
  <c r="O10" i="4" s="1"/>
  <c r="P10" i="4" s="1"/>
  <c r="B4" i="4" l="1"/>
  <c r="U2" i="4"/>
  <c r="U7" i="4" s="1"/>
  <c r="Q10" i="4"/>
  <c r="R10" i="4" s="1"/>
  <c r="S10" i="4" s="1"/>
  <c r="Q30" i="4"/>
  <c r="O27" i="4"/>
  <c r="S33" i="4"/>
  <c r="F24" i="4" s="1"/>
  <c r="T10" i="4" l="1"/>
  <c r="U10" i="4" s="1"/>
  <c r="C8" i="4"/>
  <c r="V2" i="4"/>
  <c r="V7" i="4" s="1"/>
  <c r="W2" i="4" s="1"/>
  <c r="T33" i="4"/>
  <c r="P27" i="4"/>
  <c r="R30" i="4"/>
  <c r="W7" i="4" l="1"/>
  <c r="X2" i="4" s="1"/>
  <c r="U33" i="4"/>
  <c r="V33" i="4" s="1"/>
  <c r="W33" i="4" s="1"/>
  <c r="Q27" i="4"/>
  <c r="S30" i="4"/>
  <c r="E24" i="4" s="1"/>
  <c r="X7" i="4" l="1"/>
  <c r="R27" i="4"/>
  <c r="T30" i="4"/>
  <c r="U30" i="4" l="1"/>
  <c r="S27" i="4"/>
  <c r="D24" i="4" s="1"/>
  <c r="T27" i="4" l="1"/>
  <c r="V30" i="4"/>
  <c r="W30" i="4" s="1"/>
  <c r="U27" i="4" l="1"/>
  <c r="V27" i="4" s="1"/>
  <c r="W27" i="4" s="1"/>
  <c r="K37" i="4"/>
  <c r="L37" i="4" s="1"/>
  <c r="M37" i="4" s="1"/>
  <c r="N37" i="4" s="1"/>
  <c r="O37" i="4" s="1"/>
  <c r="P37" i="4" s="1"/>
  <c r="Q37" i="4" l="1"/>
  <c r="R37" i="4" s="1"/>
  <c r="S37" i="4" s="1"/>
  <c r="C35" i="4" l="1"/>
  <c r="T37" i="4"/>
  <c r="U37" i="4" s="1"/>
  <c r="V37" i="4" s="1"/>
  <c r="W37" i="4" s="1"/>
  <c r="X37" i="4" s="1"/>
  <c r="F9" i="4"/>
  <c r="D9" i="4"/>
  <c r="E9" i="4"/>
  <c r="N13" i="4" l="1"/>
  <c r="O13" i="4"/>
  <c r="P13" i="4" s="1"/>
  <c r="Q13" i="4" s="1"/>
  <c r="R13" i="4" s="1"/>
  <c r="S13" i="4" s="1"/>
  <c r="F8" i="4" s="1"/>
  <c r="L11" i="4"/>
  <c r="M11" i="4" s="1"/>
  <c r="N11" i="4" s="1"/>
  <c r="O11" i="4" s="1"/>
  <c r="P11" i="4" s="1"/>
  <c r="Q11" i="4" s="1"/>
  <c r="R11" i="4" s="1"/>
  <c r="S11" i="4" s="1"/>
  <c r="M12" i="4"/>
  <c r="N12" i="4" s="1"/>
  <c r="O12" i="4" s="1"/>
  <c r="P12" i="4" s="1"/>
  <c r="Q12" i="4" s="1"/>
  <c r="R12" i="4" s="1"/>
  <c r="S12" i="4" s="1"/>
  <c r="T12" i="4" l="1"/>
  <c r="D8" i="4"/>
  <c r="T11" i="4"/>
  <c r="U11" i="4" s="1"/>
</calcChain>
</file>

<file path=xl/sharedStrings.xml><?xml version="1.0" encoding="utf-8"?>
<sst xmlns="http://schemas.openxmlformats.org/spreadsheetml/2006/main" count="433" uniqueCount="192">
  <si>
    <t xml:space="preserve">HI Trust Fund </t>
  </si>
  <si>
    <t>SMI Trust Fund</t>
  </si>
  <si>
    <t>Total Savings</t>
  </si>
  <si>
    <t>Policies</t>
  </si>
  <si>
    <t>Notes</t>
  </si>
  <si>
    <t>"Achieving a balance between spending impacting the HI Trust Fund and revenues flowing into the Fund would seem to be necessary to achieve a degree of political balance between those solely advocating one approach or the other.  Therefore, the recommendations discussed below attempt to find an equal amount of spending reductions and revenue increase. It must be noted, however, that restoring balance in the HI Trust Fund is not necessarily equivalent to broad based deficit reduction. The goal of this blog is to identify policies that would restore balance in the HI-Fund. In achieving this goal some policies could result in increased spending or reduced revenues that would add to the unified federal budget deficit."</t>
  </si>
  <si>
    <t xml:space="preserve">Raise Age of Eligibility to 67 </t>
  </si>
  <si>
    <t>$80 billion</t>
  </si>
  <si>
    <t xml:space="preserve">Unified Post-Acute Payment System </t>
  </si>
  <si>
    <t>$102 Billion</t>
  </si>
  <si>
    <t>Restrict Medigap Cost-Sharing</t>
  </si>
  <si>
    <t>$72 Billion</t>
  </si>
  <si>
    <t>Some amount</t>
  </si>
  <si>
    <t>Redirecting Net Investment Income Tax from General Revenues to HI Trust Fund</t>
  </si>
  <si>
    <t>$270 Billion</t>
  </si>
  <si>
    <t xml:space="preserve">Total Savings </t>
  </si>
  <si>
    <t>~$524 Billion</t>
  </si>
  <si>
    <t>"Over the long-run, HI program expenses -- covering inpatient stays, or part A of Medicare -- are not supposed to outrun HI payroll tax receipts, which grow with the economy. In contrast, SMI spending, which includes physician care (part B) and outpatient prescription drugs (part D), can grow more rapidly because general fund payments will always keep pace.
Congress should be concerned about the financial burden of the entire Medicare program, not just HI, and focus on the long-term, not just the next decade. The Congressional Budget Office (CBO) projects overall Medicare spending will increase from 3.5 percent of GDP in 2020 to 6.0 percent in 2050.
The following reforms would make all of Medicare more financially sustainable while also lowering costs that are currently attributable to the HI trust fund."</t>
  </si>
  <si>
    <t>Integrated Benefit and Trust Fund Structure</t>
  </si>
  <si>
    <t>$390 billion</t>
  </si>
  <si>
    <t>~$600 billion</t>
  </si>
  <si>
    <t xml:space="preserve">$1 trillion </t>
  </si>
  <si>
    <t>Bring Enrollment of Supplemental Coverage into Process for signing up for FFS Medicare, MA, and ACO Plans and Restrict Medigap Plans</t>
  </si>
  <si>
    <t>~$72 billion</t>
  </si>
  <si>
    <t>Reference Pricing and Competitive Bidding</t>
  </si>
  <si>
    <t>Reform of GME Payments</t>
  </si>
  <si>
    <t xml:space="preserve">$30 billion </t>
  </si>
  <si>
    <t>"Because the time is short before the Trust Fund is exhausted, we would be wise to consider a strategy for addressing the financial pressures on the fund today, to avert a more reactive response, post-COVID. To that end, we propose a suite of actions aimed at strengthening the Medicare Trust Fund in a way that also improves the design of the program. The proposed strategy consists of a combination of financial policies accompanied by programmatic changes that rationalize parts of the Medicare program. In each case, the goal is to be progressive with respect to the burden of financing, and to promote quality and efficiency in payment."</t>
  </si>
  <si>
    <t>Shift Revenues Generated By The Net Investment Income Tax From The General Fund</t>
  </si>
  <si>
    <t>$270 billion</t>
  </si>
  <si>
    <t>Increase The Medicare High-Income Add On For The Highest Earners</t>
  </si>
  <si>
    <t>$77 billion</t>
  </si>
  <si>
    <t>Exclude Temporary COVID-19-Related Increases In Medicare Payment From Medicare Advantage Benchmarks</t>
  </si>
  <si>
    <t>?</t>
  </si>
  <si>
    <t>Return Savings Related To Substantial Decline In Medicare Advantage Claims</t>
  </si>
  <si>
    <t>Shift Home Health Benefit To Part B</t>
  </si>
  <si>
    <t>$60 Billion</t>
  </si>
  <si>
    <t>"upward pressure on the Part B premium"</t>
  </si>
  <si>
    <t>Implement Site Neutral Payments For All Hospitals</t>
  </si>
  <si>
    <t>$11 billion</t>
  </si>
  <si>
    <t>Adjust The Physician Add-On To The Part B Drug Reimbursement Structure</t>
  </si>
  <si>
    <t>$5 billion or $12 billion</t>
  </si>
  <si>
    <t>The Trump administration estimated that reducing the rewards for high-cost prescribing would result in savings to Medicare Part B of $500 million per year. If this were coupled with an inflation rebate for price increases above the general rate of inflation, the CBO estimates that would save another $1.2 billion per year.</t>
  </si>
  <si>
    <t>Implement Medicare Advantage Benchmark By Extending Competitive Bidding</t>
  </si>
  <si>
    <t>$110 billion</t>
  </si>
  <si>
    <t>Adjust the productivity adjustment factor in the ACA to reduce the market basket index increase by 2.0 percentage points annually, instead of remaining tied to economy-wide productivity</t>
  </si>
  <si>
    <t>Table 1.</t>
  </si>
  <si>
    <t>CBO’s Baseline Projections of Trust Fund Balances</t>
  </si>
  <si>
    <t>Billions of Dollars</t>
  </si>
  <si>
    <t>Actual,</t>
  </si>
  <si>
    <t>Medicare</t>
  </si>
  <si>
    <r>
      <t>Hospital Insurance (Part A)</t>
    </r>
    <r>
      <rPr>
        <vertAlign val="superscript"/>
        <sz val="11"/>
        <color theme="1"/>
        <rFont val="Arial"/>
        <family val="2"/>
      </rPr>
      <t>a</t>
    </r>
  </si>
  <si>
    <t>Supplementary Medical Insurance (Parts B and D)</t>
  </si>
  <si>
    <t>__</t>
  </si>
  <si>
    <t>Subtotal</t>
  </si>
  <si>
    <t>These balances are for the end of the fiscal year and include securities invested in Treasury holdings.</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</si>
  <si>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the table shows zero rather than a cumulative negative balance in the trust fund after the exhaustion date.</t>
  </si>
  <si>
    <t>Table 2.</t>
  </si>
  <si>
    <t>CBO’s Baseline Projections of Trust Fund Deficits and Surpluses</t>
  </si>
  <si>
    <t>Total</t>
  </si>
  <si>
    <t>2021-</t>
  </si>
  <si>
    <r>
      <t>Hospital Insurance (Part A)</t>
    </r>
    <r>
      <rPr>
        <vertAlign val="superscript"/>
        <sz val="11"/>
        <rFont val="Arial"/>
        <family val="2"/>
      </rPr>
      <t>a</t>
    </r>
  </si>
  <si>
    <t>_</t>
  </si>
  <si>
    <t>Source: Congressional Budget Office.</t>
  </si>
  <si>
    <t xml:space="preserve">Negative numbers indicate that the trust fund transactions add to total budget deficits. </t>
  </si>
  <si>
    <t>a. CBO projects that this trust fund will be exhausted during the 2020–2030 period. However,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The manner in which those payments would continue would depend on future legislation.</t>
  </si>
  <si>
    <t>Table 3.</t>
  </si>
  <si>
    <t>CBO’s Baseline Projections of Balances in the OASI, DI, HI, and SMI Trust Funds</t>
  </si>
  <si>
    <r>
      <t>HI Trust Fund</t>
    </r>
    <r>
      <rPr>
        <vertAlign val="superscript"/>
        <sz val="11"/>
        <rFont val="Arial"/>
        <family val="2"/>
      </rPr>
      <t>a</t>
    </r>
  </si>
  <si>
    <t>Beginning-of-Year Balance</t>
  </si>
  <si>
    <t>n.a.</t>
  </si>
  <si>
    <t>Income (Excluding interest)</t>
  </si>
  <si>
    <t>Expenditures</t>
  </si>
  <si>
    <t xml:space="preserve">Noninterest Deficit (-) </t>
  </si>
  <si>
    <t>Interest Received</t>
  </si>
  <si>
    <t>Total Deficit (-) or Surplus</t>
  </si>
  <si>
    <t>End-of-Year Balance</t>
  </si>
  <si>
    <t>Noninterest Deficit (-) or Surplus</t>
  </si>
  <si>
    <t>Balances shown are invested in Government Account Series securities issued by the Treasury.</t>
  </si>
  <si>
    <t>DI = Disability Insurance; HI = Hospital Insurance; OASI = Old-Age and Survivors Insurance; SMI = Supplementary Medical Insurance; n.a. = not applicable.</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</si>
  <si>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the table shows zero rather than a cumulative negative balance in the trust fund after the exhaustion date. For the same reason, the table shows zero interest received rather than an interest payment, which implicitly reflects the assumption that future legislation would not require the funds to pay financing costs.</t>
  </si>
  <si>
    <t>Structured Beneficiary Choice and Vigorous Competition with Aligned Incentives
Average Bid Option and Without Grandfathering</t>
  </si>
  <si>
    <t xml:space="preserve">Increase the tax from 2.9% of total earnings to 3.9%, effectively immediately </t>
  </si>
  <si>
    <t>$877.5 Billion, if started in Jan 2021.</t>
  </si>
  <si>
    <t>Part A</t>
  </si>
  <si>
    <t xml:space="preserve">Also from CBO's Options for Reducing the Deficit from 2019-2028, but Option 17.
Bill explains that under this proposal, start in Year 4 (2022), "new medigap policies be banned from paying any of the first $750 of an enrollees cost-sharing obligations for Parts A and B services and limit coverage to 50 percent of the next $6,750 of an enrollee’s cost sharing. These limits would be adjusted annually for the increase in the medical cost index."
CBO recalculated this option recently for 2021-2031 (https://www.cbo.gov/budget-options/56830), though modified to be slightly more generous, so that number will be adopted. Without access to CBO's microsimulation model and data about projected cost-sharing obligations in future years, this analysis will simply rely on the fact that trends in national medigap enrollment between 2014 and 2018 that indicate an annual average of 4.83% increase in enrollment (https://www.ahip.org/wp-content/uploads/AHIP_State_of_Medigap-2020.pdf) to increase savings by 5% annually.
Since the increases beyond the fourth year would be identical for respective years, the difference in savings would be attributable to the savings in the fourth year. </t>
  </si>
  <si>
    <t>Unclear whether CBO's projections incorporate the elevated payment increases and how they are phased out, if at all - for the purposes of this analysis, it will assume the baseline projection already excludes them.</t>
  </si>
  <si>
    <t xml:space="preserve">Since the crisis is still ongoing, this will be omitted as well though savings under this proposal may be underestimated.  </t>
  </si>
  <si>
    <t xml:space="preserve"> </t>
  </si>
  <si>
    <t>Annual Increase in Expenditures</t>
  </si>
  <si>
    <t>Annual Increase with 1% Additional Reduction</t>
  </si>
  <si>
    <t>Difference in Ten Year-Savings</t>
  </si>
  <si>
    <t>Projected Balance at Start of Year</t>
  </si>
  <si>
    <t>Interest</t>
  </si>
  <si>
    <t>Income</t>
  </si>
  <si>
    <t>End of Year</t>
  </si>
  <si>
    <t>P1 - 2021</t>
  </si>
  <si>
    <t>P1 - 2022</t>
  </si>
  <si>
    <t>P1 - 2023</t>
  </si>
  <si>
    <t>P1 - 2024</t>
  </si>
  <si>
    <t>P1 - 2025</t>
  </si>
  <si>
    <t>P4 - 2022</t>
  </si>
  <si>
    <t>P4 - 2023</t>
  </si>
  <si>
    <t>P4 - 2024</t>
  </si>
  <si>
    <t>P4 - 2025</t>
  </si>
  <si>
    <t>P4 - 2027</t>
  </si>
  <si>
    <t>P4 - 2028</t>
  </si>
  <si>
    <t>P5 - 2021</t>
  </si>
  <si>
    <t>P5 - 2022</t>
  </si>
  <si>
    <t>P5 - 2023</t>
  </si>
  <si>
    <t>P5 - 2024</t>
  </si>
  <si>
    <t>P5 - 2025</t>
  </si>
  <si>
    <t>P3 - 2022</t>
  </si>
  <si>
    <t>P3 - 2023</t>
  </si>
  <si>
    <t>P3 - 2024</t>
  </si>
  <si>
    <t>P3 - 2025</t>
  </si>
  <si>
    <t>Same as Bill's option</t>
  </si>
  <si>
    <t xml:space="preserve">Increase the payroll tax from 2.9% of total earnings to 3.9%, effectively immediately </t>
  </si>
  <si>
    <t>1. Bill's Recommendations to Restore Trust in the HI Fund</t>
  </si>
  <si>
    <t>Structured Beneficiary Choice and Vigorous Competition with Aligned Incentives - Average Bid Option and Without Grandfathering</t>
  </si>
  <si>
    <t xml:space="preserve">Reference Pricing </t>
  </si>
  <si>
    <t xml:space="preserve">Part C </t>
  </si>
  <si>
    <t>Cutler: Second Lowest Option + With Grandfathering</t>
  </si>
  <si>
    <t>Capretta: Average Bid Option + Without Grandfathering (8% of annual HI expenditures)</t>
  </si>
  <si>
    <t>Ten Year Savings</t>
  </si>
  <si>
    <t>5. Cuts to Provider Payments in Medicare Part A</t>
  </si>
  <si>
    <t>No published number</t>
  </si>
  <si>
    <t>4. CBO's Payroll Tax Increase in Options for Reducing the Deficit</t>
  </si>
  <si>
    <t>Proposal 1's Eligibillty Age</t>
  </si>
  <si>
    <t>Difference in %</t>
  </si>
  <si>
    <t>Cumulative Enrollment in 10 Year Enrollment-Years</t>
  </si>
  <si>
    <t>Proposal 2's Structured Choice and Competition &amp; Proposal 3's Competitive Bidding****</t>
  </si>
  <si>
    <t>Proposal 1 and 3's Redirect of Net Investment Income Tax</t>
  </si>
  <si>
    <t>Same as Restrict Medigap Plans, but unclear how much bringing enrollment of supplemental coverage in will save so assumed 0 here.</t>
  </si>
  <si>
    <r>
      <t xml:space="preserve">Increasing the tax from 0.9% to 2 percent for people and households earning more than $1 million per year.
Given widening inequality exacerbated by the economy, 3% will be added for each delayed year.
</t>
    </r>
    <r>
      <rPr>
        <b/>
        <sz val="12"/>
        <color theme="1"/>
        <rFont val="Times New Roman"/>
        <family val="1"/>
      </rPr>
      <t xml:space="preserve">
Calculated directly on Tab 1.</t>
    </r>
  </si>
  <si>
    <r>
      <t>Previous experience</t>
    </r>
    <r>
      <rPr>
        <sz val="12"/>
        <rFont val="Times New Roman"/>
        <family val="1"/>
      </rPr>
      <t xml:space="preserve"> from the health plan market for California’s state employees and retirees shows the savings would be substantial.
</t>
    </r>
    <r>
      <rPr>
        <u/>
        <sz val="12"/>
        <color theme="10"/>
        <rFont val="Times New Roman"/>
        <family val="1"/>
      </rPr>
      <t xml:space="preserve">
</t>
    </r>
    <r>
      <rPr>
        <sz val="12"/>
        <rFont val="Times New Roman"/>
        <family val="1"/>
      </rPr>
      <t>This study from the Academy of Actuaries</t>
    </r>
    <r>
      <rPr>
        <u/>
        <sz val="12"/>
        <rFont val="Times New Roman"/>
        <family val="1"/>
      </rPr>
      <t xml:space="preserve"> (</t>
    </r>
    <r>
      <rPr>
        <u/>
        <sz val="12"/>
        <color theme="10"/>
        <rFont val="Times New Roman"/>
        <family val="1"/>
      </rPr>
      <t>https://www.actuary.org/sites/default/files/files/publications/ReferencePricing_11.2018.pdf</t>
    </r>
    <r>
      <rPr>
        <sz val="12"/>
        <rFont val="Times New Roman"/>
        <family val="1"/>
      </rPr>
      <t xml:space="preserve">) estimates a savings range of 0 to 12 percent of spending for all services, so this analysis takes 6% savings of total Part A spending for each year.
</t>
    </r>
    <r>
      <rPr>
        <u/>
        <sz val="12"/>
        <color theme="10"/>
        <rFont val="Times New Roman"/>
        <family val="1"/>
      </rPr>
      <t xml:space="preserve">
</t>
    </r>
    <r>
      <rPr>
        <b/>
        <sz val="12"/>
        <rFont val="Times New Roman"/>
        <family val="1"/>
      </rPr>
      <t>Calculated directly on Tab 1.</t>
    </r>
  </si>
  <si>
    <r>
      <t>According to MedPAC (</t>
    </r>
    <r>
      <rPr>
        <u/>
        <sz val="12"/>
        <color theme="1"/>
        <rFont val="Times New Roman"/>
        <family val="1"/>
      </rPr>
      <t>http://www.medpac.gov/docs/default-source/reports/mar20_medpac_ch9_sec.pdf?sfvrsn=0</t>
    </r>
    <r>
      <rPr>
        <sz val="12"/>
        <color theme="1"/>
        <rFont val="Times New Roman"/>
        <family val="1"/>
      </rPr>
      <t xml:space="preserve">), payments for home health have exceeded costs for more than a decade and Congress has steadily increased payments every year. MedPAC recommends reducing payments by 7% for 2021 but CMS decided to increase payment by 2%. Using that as a basis, the number will be increased by 2% per year.
</t>
    </r>
    <r>
      <rPr>
        <b/>
        <sz val="12"/>
        <color theme="1"/>
        <rFont val="Times New Roman"/>
        <family val="1"/>
      </rPr>
      <t>Calculated directly on Tab 1.</t>
    </r>
  </si>
  <si>
    <t>Annual Revenue**</t>
  </si>
  <si>
    <t>Medicare Enrollment (thousands)*</t>
  </si>
  <si>
    <t>*Data from  2020 to 2030 and 2035 from Table V.B3. in 2020 Medicare Trustees Report</t>
  </si>
  <si>
    <t>*** Savings for first option and 8% savings from CBO's A Premium Support System for Medicare: Updated Analysis of Illustrative Options.</t>
  </si>
  <si>
    <t>Proposal 4's Payroll Tax Increase</t>
  </si>
  <si>
    <t>Proposal 5's Provider Cuts</t>
  </si>
  <si>
    <t>1% Tax Increase Change in Revenue****</t>
  </si>
  <si>
    <t>HI Trust Fund Expenditures*****</t>
  </si>
  <si>
    <t>****Data from 2021 to 2030 from Options for CBO's Options for Reducing the Deficit: 2021 to 2030, Option 15.</t>
  </si>
  <si>
    <t>End of Year Under Proposals</t>
  </si>
  <si>
    <r>
      <t>Hospital Insurance (Part A)</t>
    </r>
    <r>
      <rPr>
        <vertAlign val="superscript"/>
        <sz val="11"/>
        <color theme="1"/>
        <rFont val="Arial"/>
        <family val="2"/>
      </rPr>
      <t>a,c</t>
    </r>
  </si>
  <si>
    <t>c. CBO now projects that the HI Trust Fund will be exhausted in 2026, two years later than projected in September. The change is largely due to an increase in the projected amount of income from taxes into the trust fund.</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</si>
  <si>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if the trust fund is projected to be exhausted, the table shows zero rather than a cumulative negative balance after the exhaustion date.</t>
  </si>
  <si>
    <t>2022-</t>
  </si>
  <si>
    <t>a. CBO projects that this trust fund will be exhausted during the 2021–2031 period. However,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The manner in which those payments continued would depend on future legislation.</t>
  </si>
  <si>
    <t>CBO’s Baseline Projections of Balances in the OASI, DI, and HI Trust Funds</t>
  </si>
  <si>
    <t xml:space="preserve">Noninterest deficit (-) </t>
  </si>
  <si>
    <t>Interest received</t>
  </si>
  <si>
    <t>Total deficit (-) or surplus</t>
  </si>
  <si>
    <t>All $ amounts are calculated over 10 years using the data from authors and methodology, if provided, but may be calculated with earlier start dates so they are not directly comparable and may not match numbers used in the analysis</t>
  </si>
  <si>
    <t>Site-neutrality for all hospitals would only affect Part B services, not the HI Trust Fund</t>
  </si>
  <si>
    <r>
      <rPr>
        <sz val="12"/>
        <rFont val="Times New Roman"/>
        <family val="1"/>
      </rPr>
      <t xml:space="preserve">CBO examined this option in their Options for Reducing the Deficit from 2021 to 2030 as Option 15 here: </t>
    </r>
    <r>
      <rPr>
        <u/>
        <sz val="12"/>
        <color theme="10"/>
        <rFont val="Times New Roman"/>
        <family val="1"/>
      </rPr>
      <t xml:space="preserve">https://www.cbo.gov/system/files/2020-12/56783-budget-options.pdf. </t>
    </r>
    <r>
      <rPr>
        <sz val="12"/>
        <rFont val="Times New Roman"/>
        <family val="1"/>
      </rPr>
      <t xml:space="preserve">
Their data is used and numbers beyond 2030 will be extrapolated. 
</t>
    </r>
    <r>
      <rPr>
        <b/>
        <sz val="12"/>
        <rFont val="Times New Roman"/>
        <family val="1"/>
      </rPr>
      <t>Calculated on Tab 4.</t>
    </r>
  </si>
  <si>
    <t>Projected HI Deficit in 10 Years under Current Law</t>
  </si>
  <si>
    <t>Total 10 Year Savings</t>
  </si>
  <si>
    <t>P2 - 2021</t>
  </si>
  <si>
    <t>P2 - 2022</t>
  </si>
  <si>
    <t>P2 - 2023</t>
  </si>
  <si>
    <t>P2 - 2024</t>
  </si>
  <si>
    <t>P2 - 2025</t>
  </si>
  <si>
    <t>P4 - 2021</t>
  </si>
  <si>
    <t>If this proposal were implemented in the following year…</t>
  </si>
  <si>
    <t>Proposal 1's 2030 Balance - Bill's Bipartisan Recommendations</t>
  </si>
  <si>
    <t>Proposal 3's 2030 Balance - Cutler, et al.'s Strengthening Trust Funds &amp; Improving Design</t>
  </si>
  <si>
    <t>Proposal 4's 2030 Balance - Payroll Tax Increase</t>
  </si>
  <si>
    <t>Proposal 5's 2030 Balance - Cut Provider Payments</t>
  </si>
  <si>
    <t>Projected Balances in 2030 and 10-Year Savings from Current Law and Various Medicare Proposals</t>
  </si>
  <si>
    <t>Underlined and bolded numbers reflect the year of insolvency</t>
  </si>
  <si>
    <r>
      <t xml:space="preserve">Reduced Expenditures </t>
    </r>
    <r>
      <rPr>
        <sz val="12"/>
        <color theme="1"/>
        <rFont val="Calibri"/>
        <family val="2"/>
        <scheme val="minor"/>
      </rPr>
      <t>(from 2021)</t>
    </r>
  </si>
  <si>
    <r>
      <t xml:space="preserve">Reduced Expenditures </t>
    </r>
    <r>
      <rPr>
        <sz val="12"/>
        <color theme="1"/>
        <rFont val="Calibri"/>
        <family val="2"/>
        <scheme val="minor"/>
      </rPr>
      <t>(from 2022)</t>
    </r>
  </si>
  <si>
    <r>
      <t xml:space="preserve">Reduced Expenditures </t>
    </r>
    <r>
      <rPr>
        <sz val="12"/>
        <color theme="1"/>
        <rFont val="Calibri"/>
        <family val="2"/>
        <scheme val="minor"/>
      </rPr>
      <t>(from 2024)</t>
    </r>
  </si>
  <si>
    <r>
      <t xml:space="preserve">Reduced Expenditures </t>
    </r>
    <r>
      <rPr>
        <sz val="12"/>
        <color theme="1"/>
        <rFont val="Calibri"/>
        <family val="2"/>
        <scheme val="minor"/>
      </rPr>
      <t>(from 2023)</t>
    </r>
  </si>
  <si>
    <r>
      <t xml:space="preserve">Reduced Expenditures </t>
    </r>
    <r>
      <rPr>
        <sz val="12"/>
        <color theme="1"/>
        <rFont val="Calibri"/>
        <family val="2"/>
        <scheme val="minor"/>
      </rPr>
      <t>(from 2025)</t>
    </r>
  </si>
  <si>
    <t>**Data from 2020 to 2031 from Revenue Projections that supplement CBO's February 2021 report The Budget and Economic Outlook: 2021 to 2031. Revenue for 2032 to 2034 extrapolated by taking difference between revenue for 2031 and for 2020 and dividing it by 12 years (the gap in the two) to get average yearly increase, and adding that amount each year.</t>
  </si>
  <si>
    <t>*****Data from 2020 to 2031 from 10-Year Trust Fund Projections that supplement CBO's February 2021 report The Budget and Economic Outlook: 2021 to 2031. Expenditures for 2032 to 2034 extrapolated by taking difference between expenditures for 2031 and for 2020 and dividing it by 12 years (the gap in the two) to get average yearly increase, and adding that amount each year. Reduced expenditures  calculations takes expenditures to be under current law until the year the policy is implemented.</t>
  </si>
  <si>
    <r>
      <t xml:space="preserve">Bill calculated this by adjusting from Option 19 in CBO's Options for Reducing the Deficit from 2019-2028. This would start in Year 5, 2023...
Table V.B3. in the 2020 Medicare Trustees Report show slight growth in Medicare enrollment total enrollment-years for Medicare Part A and Part B over time of about 2% annually. As a stylized estimate, this analysis assumes a start date of 2021 two years beyond CBO's original estimates, the $80 billion number will be adjusted by 4% for two years and 2% for every year forward. </t>
    </r>
    <r>
      <rPr>
        <b/>
        <sz val="12"/>
        <color theme="1"/>
        <rFont val="Times New Roman"/>
        <family val="1"/>
      </rPr>
      <t>See Tab 3.</t>
    </r>
  </si>
  <si>
    <t>From the President's 2021 Budget Submission where this was pulled from: "Under this proposal, skilled nursing facilities, home health agencies, and inpatient rehabilitation facilities will receive a lower annual Medicare payment update from FY 2021 to FY 2025.  Beginning in FY 2026, a unified post-acute care payment system would span all four post-acute care settings, including long term care hospitals, with payments based on episodes of care and patient characteristics rather than the site of service, and would include a unified quality reporting program across all four settings.  Payment rates would be budget neutral in FY 2026, risk adjusted, and set prospectively on an annual basis, with episode grouping and pricing based on the average cost for providing post-acute care services for a diagnosis, similar to the Diagnosis-Related Group methodology under the Inpatient Prospective Payment System (IPPS)."
A similar timeline and annual increase of 2% to capture medical inflation will be adopted across all start years.</t>
  </si>
  <si>
    <r>
      <t xml:space="preserve">The Medicare Payment Advisory Commission (MedPAC) has estimated that the payments made under current law -- about $10 billion annually -- exceed the costs incurred by hospitals for providing residency training by roughly $3 billion annually. 
</t>
    </r>
    <r>
      <rPr>
        <sz val="12"/>
        <rFont val="Times New Roman"/>
        <family val="1"/>
      </rPr>
      <t>Option 21, Consolidate and Reduce Federal Payments for Graduate Medical Education at Teaching Hospitals, in CBO's Options For Reducing the Deficit: 2021 to 2030 can be used as reference. $34 billion taken from there. The number is indexed to medical inflation of 2%.
Worth noting that MedPAC in October 2020 seems to have shifted to budget neutral reform that would maintain funding but distribute it across care settings.</t>
    </r>
  </si>
  <si>
    <r>
      <t>CBO's Revenue Projections by Category for September 2020 (https://www.cbo.gov/system/files/2020-09/51138-2020-09-revenueprojections.xlsx) include baseline projections for NIIT from 2021 to 2030. The estimate will use those numbers and extrapolate for numbers from 2031-2034.</t>
    </r>
    <r>
      <rPr>
        <b/>
        <sz val="12"/>
        <color theme="1"/>
        <rFont val="Times New Roman"/>
        <family val="1"/>
      </rPr>
      <t xml:space="preserve"> See Tab 3.</t>
    </r>
  </si>
  <si>
    <r>
      <t xml:space="preserve">The reform could be modified to limit the potential premium increases for beneficiaries enrolled in expensive plan options (whether FFS or MA) and still achieve substantial savings over a decade.
8% of each year's HI payments will be used. </t>
    </r>
    <r>
      <rPr>
        <b/>
        <sz val="12"/>
        <color theme="1"/>
        <rFont val="Times New Roman"/>
        <family val="1"/>
      </rPr>
      <t>See Tab 3.</t>
    </r>
  </si>
  <si>
    <r>
      <t xml:space="preserve">Authors are uncertain how much of the $11 billion in annual savings affect Part A and the HI Trust Fund.
Unlike Jim's competitive bidding, this one appears to assume grandfathering. Since the CBO analysis only offers numbers from five years of 2022 - 2026, the analysis will extrapolate to 2034.
</t>
    </r>
    <r>
      <rPr>
        <b/>
        <sz val="12"/>
        <color theme="1"/>
        <rFont val="Times New Roman"/>
        <family val="1"/>
      </rPr>
      <t>Calculated on Tab 3.</t>
    </r>
  </si>
  <si>
    <t>Adjust the productivity adjustment factor in the ACA to reduce the market basket index increase by 1.0 percentage points annually, instead of remaining tied to economy-wide productivity</t>
  </si>
  <si>
    <r>
      <t xml:space="preserve">Such reductions will create an incentive to reduce unnecessary care and eliminate waste, as well as motivate providers and MA plans to improve productivity at the same time Congress and CMS implement other cost growth reduction policies.  
                                                                                                      See </t>
    </r>
    <r>
      <rPr>
        <b/>
        <sz val="12"/>
        <color theme="1"/>
        <rFont val="Times New Roman"/>
        <family val="1"/>
      </rPr>
      <t>Tab 3</t>
    </r>
    <r>
      <rPr>
        <sz val="12"/>
        <color theme="1"/>
        <rFont val="Times New Roman"/>
        <family val="1"/>
      </rPr>
      <t xml:space="preserve"> for calculations. 
</t>
    </r>
  </si>
  <si>
    <t>3. Cutler et al.'s Strengthening Trust Funds &amp; Improving Design</t>
  </si>
  <si>
    <t xml:space="preserve">2. Jim's Integration, Competition, and Supplement Coverage Reform </t>
  </si>
  <si>
    <t xml:space="preserve">Proposal 2's 2030 Balance - Jim's Integration, Competition, and Supplement Coverage Reform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</si>
</sst>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000"/>
    <numFmt numFmtId="165" formatCode="0.0"/>
    <numFmt numFmtId="166" formatCode="dd\-mmm\-yy"/>
    <numFmt numFmtId="167" formatCode="&quot;$&quot;#,##0"/>
    <numFmt numFmtId="168" formatCode="&quot;$&quot;#,##0.00"/>
    <numFmt numFmtId="169" formatCode="&quot;$&quot;#,##0.0"/>
    <numFmt numFmtId="170" formatCode="0.0%"/>
    <numFmt numFmtId="171" formatCode="General_)"/>
    <numFmt numFmtId="172" formatCode="#,##0.0"/>
  </numFmts>
  <fonts count="69">
    <font>
      <sz val="11"/>
      <color theme="1"/>
      <name val="Calibri"/>
      <family val="2"/>
      <scheme val="minor"/>
    </font>
    <font>
      <sz val="12"/>
      <color theme="1"/>
      <name val="Times New Roman"/>
      <family val="1"/>
    </font>
    <font>
      <b/>
      <sz val="12"/>
      <color theme="1"/>
      <name val="Times New Roman"/>
      <family val="1"/>
    </font>
    <font>
      <u/>
      <sz val="11"/>
      <color theme="10"/>
      <name val="Calibri"/>
      <family val="2"/>
      <scheme val="minor"/>
    </font>
    <font>
      <sz val="12"/>
      <color rgb="FFFF0000"/>
      <name val="Times New Roman"/>
      <family val="1"/>
    </font>
    <font>
      <u/>
      <sz val="12"/>
      <color theme="10"/>
      <name val="Times New Roman"/>
      <family val="1"/>
    </font>
    <font>
      <sz val="11"/>
      <color theme="1"/>
      <name val="Arial"/>
      <family val="2"/>
    </font>
    <font>
      <sz val="11"/>
      <color theme="3"/>
      <name val="Arial"/>
      <family val="2"/>
    </font>
    <font>
      <sz val="12"/>
      <name val="Arial"/>
      <family val="2"/>
    </font>
    <font>
      <b/>
      <sz val="11"/>
      <color theme="1"/>
      <name val="Arial"/>
      <family val="2"/>
    </font>
    <font>
      <vertAlign val="superscript"/>
      <sz val="11"/>
      <color theme="1"/>
      <name val="Arial"/>
      <family val="2"/>
    </font>
    <font>
      <b/>
      <sz val="11"/>
      <name val="Arial"/>
      <family val="2"/>
    </font>
    <font>
      <sz val="11"/>
      <name val="Arial"/>
      <family val="2"/>
    </font>
    <font>
      <vertAlign val="superscript"/>
      <sz val="11"/>
      <name val="Arial"/>
      <family val="2"/>
    </font>
    <font>
      <sz val="11"/>
      <color theme="1"/>
      <name val="Times New Roman"/>
      <family val="1"/>
    </font>
    <font>
      <b/>
      <sz val="11"/>
      <color theme="1"/>
      <name val="Times New Roman"/>
      <family val="1"/>
    </font>
    <font>
      <sz val="11"/>
      <color theme="1"/>
      <name val="Calibri"/>
      <family val="2"/>
      <scheme val="minor"/>
    </font>
    <font>
      <sz val="11"/>
      <name val="Times New Roman"/>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sz val="8"/>
      <name val="Calibri"/>
      <family val="2"/>
      <scheme val="minor"/>
    </font>
    <font>
      <sz val="10"/>
      <color theme="1"/>
      <name val="Times New Roman"/>
      <family val="1"/>
    </font>
    <font>
      <sz val="10"/>
      <name val="Times New Roman"/>
      <family val="1"/>
    </font>
    <font>
      <sz val="10"/>
      <name val="Courier"/>
    </font>
    <font>
      <sz val="10"/>
      <name val="Arial"/>
      <family val="2"/>
    </font>
    <font>
      <sz val="8"/>
      <name val="Times New Roman"/>
      <family val="1"/>
    </font>
    <font>
      <sz val="8"/>
      <name val="Arial"/>
      <family val="2"/>
    </font>
    <font>
      <sz val="12"/>
      <name val="Times New Roman"/>
      <family val="1"/>
    </font>
    <font>
      <sz val="12"/>
      <color theme="1"/>
      <name val="Calibri"/>
      <family val="2"/>
      <scheme val="minor"/>
    </font>
    <font>
      <u/>
      <sz val="10"/>
      <color theme="10"/>
      <name val="Arial"/>
      <family val="2"/>
    </font>
    <font>
      <u/>
      <sz val="11"/>
      <color theme="10"/>
      <name val="Calibri"/>
      <family val="2"/>
    </font>
    <font>
      <u/>
      <sz val="12"/>
      <color theme="10"/>
      <name val="Arial"/>
      <family val="2"/>
    </font>
    <font>
      <u/>
      <sz val="10"/>
      <color indexed="12"/>
      <name val="Arial"/>
      <family val="2"/>
    </font>
    <font>
      <sz val="11"/>
      <color indexed="8"/>
      <name val="Calibri"/>
      <family val="2"/>
    </font>
    <font>
      <sz val="10"/>
      <name val="MS Sans Serif"/>
      <family val="2"/>
    </font>
    <font>
      <sz val="10"/>
      <name val="P-TIMES"/>
    </font>
    <font>
      <sz val="10"/>
      <color rgb="FF000000"/>
      <name val="Times New Roman"/>
      <family val="1"/>
    </font>
    <font>
      <sz val="10"/>
      <color theme="3"/>
      <name val="Arial"/>
      <family val="2"/>
    </font>
    <font>
      <sz val="10"/>
      <color theme="1"/>
      <name val="Arial Unicode MS"/>
    </font>
    <font>
      <b/>
      <u/>
      <sz val="11"/>
      <color theme="1"/>
      <name val="Times New Roman"/>
      <family val="1"/>
    </font>
    <font>
      <b/>
      <sz val="11"/>
      <color rgb="FFFF0000"/>
      <name val="Times New Roman"/>
      <family val="1"/>
    </font>
    <font>
      <sz val="12"/>
      <color theme="9" tint="-0.249977111117893"/>
      <name val="Times New Roman"/>
      <family val="1"/>
    </font>
    <font>
      <sz val="12"/>
      <name val="Calibri"/>
      <family val="2"/>
      <scheme val="minor"/>
    </font>
    <font>
      <i/>
      <sz val="12"/>
      <color theme="1"/>
      <name val="Calibri"/>
      <family val="2"/>
      <scheme val="minor"/>
    </font>
    <font>
      <i/>
      <sz val="12"/>
      <name val="Calibri"/>
      <family val="2"/>
      <scheme val="minor"/>
    </font>
    <font>
      <b/>
      <sz val="12"/>
      <color theme="1"/>
      <name val="Calibri"/>
      <family val="2"/>
      <scheme val="minor"/>
    </font>
    <font>
      <b/>
      <sz val="12"/>
      <name val="Calibri"/>
      <family val="2"/>
      <scheme val="minor"/>
    </font>
    <font>
      <b/>
      <sz val="12"/>
      <name val="Times New Roman"/>
      <family val="1"/>
    </font>
    <font>
      <u/>
      <sz val="12"/>
      <name val="Times New Roman"/>
      <family val="1"/>
    </font>
    <font>
      <u/>
      <sz val="12"/>
      <color theme="1"/>
      <name val="Times New Roman"/>
      <family val="1"/>
    </font>
    <font>
      <sz val="11"/>
      <color rgb="FFFF0000"/>
      <name val="Times New Roman"/>
      <family val="1"/>
    </font>
    <font>
      <u/>
      <sz val="12"/>
      <color rgb="FF000000"/>
      <name val="Times New Roman"/>
      <family val="1"/>
    </font>
    <font>
      <sz val="12"/>
      <color rgb="FF000000"/>
      <name val="Times New Roman"/>
      <family val="1"/>
    </font>
    <font>
      <b/>
      <u/>
      <sz val="12"/>
      <color theme="1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ck">
        <color auto="1"/>
      </left>
      <right/>
      <top/>
      <bottom/>
      <diagonal/>
    </border>
    <border>
      <left/>
      <right/>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top style="medium">
        <color indexed="64"/>
      </top>
      <bottom/>
      <diagonal/>
    </border>
    <border>
      <left style="medium">
        <color indexed="64"/>
      </left>
      <right style="thick">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top style="medium">
        <color indexed="64"/>
      </top>
      <bottom style="medium">
        <color indexed="64"/>
      </bottom>
      <diagonal/>
    </border>
    <border>
      <left style="thick">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thick">
        <color indexed="64"/>
      </left>
      <right/>
      <top style="medium">
        <color indexed="64"/>
      </top>
      <bottom style="thin">
        <color indexed="64"/>
      </bottom>
      <diagonal/>
    </border>
  </borders>
  <cellStyleXfs count="336">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8" fillId="0" borderId="0"/>
    <xf numFmtId="9" fontId="16" fillId="0" borderId="0" applyFont="0" applyFill="0" applyBorder="0" applyAlignment="0" applyProtection="0"/>
    <xf numFmtId="171" fontId="37" fillId="0" borderId="0"/>
    <xf numFmtId="44" fontId="38" fillId="0" borderId="0" applyFont="0" applyFill="0" applyBorder="0" applyAlignment="0" applyProtection="0"/>
    <xf numFmtId="9" fontId="38" fillId="0" borderId="0" applyFont="0" applyFill="0" applyBorder="0" applyAlignment="0" applyProtection="0"/>
    <xf numFmtId="0" fontId="37" fillId="0" borderId="0"/>
    <xf numFmtId="43" fontId="39" fillId="0" borderId="0" applyFont="0" applyFill="0" applyBorder="0" applyAlignment="0" applyProtection="0"/>
    <xf numFmtId="0" fontId="40" fillId="0" borderId="0"/>
    <xf numFmtId="0" fontId="36" fillId="0" borderId="0"/>
    <xf numFmtId="9" fontId="41" fillId="0" borderId="0" applyFont="0" applyFill="0" applyBorder="0" applyAlignment="0" applyProtection="0"/>
    <xf numFmtId="43" fontId="39" fillId="0" borderId="0" applyFont="0" applyFill="0" applyBorder="0" applyAlignment="0" applyProtection="0"/>
    <xf numFmtId="0" fontId="43" fillId="0" borderId="0"/>
    <xf numFmtId="0" fontId="43" fillId="0" borderId="0"/>
    <xf numFmtId="0" fontId="52" fillId="0" borderId="0" applyNumberFormat="0" applyFill="0" applyBorder="0" applyAlignment="0" applyProtection="0"/>
    <xf numFmtId="0" fontId="39" fillId="0" borderId="0"/>
    <xf numFmtId="0" fontId="39" fillId="0" borderId="0"/>
    <xf numFmtId="9" fontId="39" fillId="0" borderId="0" applyFont="0" applyFill="0" applyBorder="0" applyAlignment="0" applyProtection="0"/>
    <xf numFmtId="0" fontId="8" fillId="0" borderId="0"/>
    <xf numFmtId="0" fontId="39" fillId="0" borderId="0"/>
    <xf numFmtId="43" fontId="39" fillId="0" borderId="0" applyFont="0" applyFill="0" applyBorder="0" applyAlignment="0" applyProtection="0"/>
    <xf numFmtId="0" fontId="45" fillId="0" borderId="0" applyNumberFormat="0" applyFill="0" applyBorder="0" applyAlignment="0" applyProtection="0">
      <alignment vertical="top"/>
      <protection locked="0"/>
    </xf>
    <xf numFmtId="0" fontId="39" fillId="0" borderId="0"/>
    <xf numFmtId="0" fontId="46" fillId="0" borderId="0" applyNumberFormat="0" applyFill="0" applyBorder="0" applyAlignment="0" applyProtection="0"/>
    <xf numFmtId="9" fontId="16" fillId="0" borderId="0" applyFont="0" applyFill="0" applyBorder="0" applyAlignment="0" applyProtection="0"/>
    <xf numFmtId="0" fontId="39" fillId="0" borderId="0"/>
    <xf numFmtId="0" fontId="16" fillId="0" borderId="0"/>
    <xf numFmtId="0" fontId="8" fillId="0" borderId="0"/>
    <xf numFmtId="0" fontId="4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39"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39"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9"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41" applyNumberFormat="0" applyAlignment="0" applyProtection="0"/>
    <xf numFmtId="0" fontId="22" fillId="7" borderId="44"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0" borderId="38" applyNumberFormat="0" applyFill="0" applyAlignment="0" applyProtection="0"/>
    <xf numFmtId="0" fontId="26" fillId="0" borderId="39" applyNumberFormat="0" applyFill="0" applyAlignment="0" applyProtection="0"/>
    <xf numFmtId="0" fontId="27" fillId="0" borderId="40" applyNumberFormat="0" applyFill="0" applyAlignment="0" applyProtection="0"/>
    <xf numFmtId="0" fontId="27" fillId="0" borderId="0" applyNumberFormat="0" applyFill="0" applyBorder="0" applyAlignment="0" applyProtection="0"/>
    <xf numFmtId="0" fontId="28" fillId="5" borderId="41" applyNumberFormat="0" applyAlignment="0" applyProtection="0"/>
    <xf numFmtId="0" fontId="29" fillId="0" borderId="43" applyNumberFormat="0" applyFill="0" applyAlignment="0" applyProtection="0"/>
    <xf numFmtId="0" fontId="30" fillId="4" borderId="0" applyNumberFormat="0" applyBorder="0" applyAlignment="0" applyProtection="0"/>
    <xf numFmtId="0" fontId="39"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39" fillId="0" borderId="0"/>
    <xf numFmtId="0" fontId="39" fillId="0" borderId="0"/>
    <xf numFmtId="0" fontId="39" fillId="0" borderId="0"/>
    <xf numFmtId="0" fontId="39"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9" fillId="0" borderId="0"/>
    <xf numFmtId="0" fontId="49" fillId="0" borderId="0"/>
    <xf numFmtId="0" fontId="49" fillId="0" borderId="0"/>
    <xf numFmtId="0" fontId="49" fillId="0" borderId="0"/>
    <xf numFmtId="0" fontId="49" fillId="0" borderId="0"/>
    <xf numFmtId="0" fontId="8" fillId="0" borderId="0"/>
    <xf numFmtId="0" fontId="8" fillId="0" borderId="0"/>
    <xf numFmtId="0" fontId="8" fillId="0" borderId="0"/>
    <xf numFmtId="0" fontId="39" fillId="0" borderId="0"/>
    <xf numFmtId="0" fontId="39" fillId="0" borderId="0"/>
    <xf numFmtId="0" fontId="16" fillId="0" borderId="0"/>
    <xf numFmtId="0" fontId="39" fillId="0" borderId="0"/>
    <xf numFmtId="0" fontId="16" fillId="8" borderId="45" applyNumberFormat="0" applyFont="0" applyAlignment="0" applyProtection="0"/>
    <xf numFmtId="0" fontId="16" fillId="8" borderId="45" applyNumberFormat="0" applyFont="0" applyAlignment="0" applyProtection="0"/>
    <xf numFmtId="0" fontId="16" fillId="8" borderId="45" applyNumberFormat="0" applyFont="0" applyAlignment="0" applyProtection="0"/>
    <xf numFmtId="0" fontId="18" fillId="8" borderId="45" applyNumberFormat="0" applyFont="0" applyAlignment="0" applyProtection="0"/>
    <xf numFmtId="0" fontId="31" fillId="6" borderId="42"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3" fillId="0" borderId="46" applyNumberFormat="0" applyFill="0" applyAlignment="0" applyProtection="0"/>
    <xf numFmtId="0" fontId="34" fillId="0" borderId="0" applyNumberFormat="0" applyFill="0" applyBorder="0" applyAlignment="0" applyProtection="0"/>
    <xf numFmtId="0" fontId="39" fillId="0" borderId="0"/>
    <xf numFmtId="0" fontId="44" fillId="0" borderId="0" applyNumberFormat="0" applyFill="0" applyBorder="0" applyAlignment="0" applyProtection="0"/>
    <xf numFmtId="0" fontId="16" fillId="0" borderId="0"/>
    <xf numFmtId="0" fontId="32" fillId="0" borderId="0" applyNumberFormat="0" applyFill="0" applyBorder="0" applyAlignment="0" applyProtection="0"/>
    <xf numFmtId="0" fontId="50" fillId="0" borderId="0"/>
    <xf numFmtId="0" fontId="18" fillId="0" borderId="0"/>
    <xf numFmtId="0" fontId="39" fillId="0" borderId="0"/>
    <xf numFmtId="0" fontId="18" fillId="8" borderId="45" applyNumberFormat="0" applyFont="0" applyAlignment="0" applyProtection="0"/>
    <xf numFmtId="44" fontId="39" fillId="0" borderId="0" applyFont="0" applyFill="0" applyBorder="0" applyAlignment="0" applyProtection="0"/>
    <xf numFmtId="0" fontId="3" fillId="0" borderId="0" applyNumberFormat="0" applyFill="0" applyBorder="0" applyAlignment="0" applyProtection="0"/>
    <xf numFmtId="0" fontId="44" fillId="0" borderId="0" applyNumberFormat="0" applyFill="0" applyBorder="0" applyAlignment="0" applyProtection="0"/>
    <xf numFmtId="0" fontId="39" fillId="0" borderId="0"/>
    <xf numFmtId="0" fontId="16" fillId="0" borderId="0"/>
    <xf numFmtId="0" fontId="51" fillId="0" borderId="0"/>
  </cellStyleXfs>
  <cellXfs count="408">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3" xfId="0" applyFont="1" applyBorder="1" applyAlignment="1">
      <alignment vertical="center" wrapText="1"/>
    </xf>
    <xf numFmtId="0" fontId="1" fillId="0" borderId="0" xfId="0" applyFont="1"/>
    <xf numFmtId="0" fontId="1" fillId="0" borderId="1" xfId="0" applyFont="1" applyBorder="1" applyAlignment="1">
      <alignment horizontal="center" vertical="center" wrapText="1"/>
    </xf>
    <xf numFmtId="0" fontId="2" fillId="0" borderId="0" xfId="0" applyFont="1"/>
    <xf numFmtId="0" fontId="1" fillId="0" borderId="6" xfId="0" applyFont="1" applyBorder="1"/>
    <xf numFmtId="0" fontId="1" fillId="0" borderId="1" xfId="0" applyFont="1" applyBorder="1"/>
    <xf numFmtId="0" fontId="1" fillId="0" borderId="1" xfId="0" applyFont="1" applyBorder="1" applyAlignment="1">
      <alignment vertical="center"/>
    </xf>
    <xf numFmtId="0" fontId="1" fillId="0" borderId="2" xfId="0" applyFont="1" applyBorder="1" applyAlignment="1">
      <alignment vertical="center"/>
    </xf>
    <xf numFmtId="0" fontId="2" fillId="0" borderId="1" xfId="0" applyFont="1" applyBorder="1" applyAlignment="1">
      <alignment vertical="center"/>
    </xf>
    <xf numFmtId="0" fontId="1" fillId="0" borderId="13" xfId="0" applyFont="1" applyBorder="1" applyAlignment="1">
      <alignment vertical="center" wrapText="1"/>
    </xf>
    <xf numFmtId="0" fontId="1" fillId="0" borderId="14" xfId="0" applyFont="1" applyBorder="1" applyAlignment="1">
      <alignment vertical="center" wrapText="1"/>
    </xf>
    <xf numFmtId="0" fontId="2" fillId="0" borderId="14" xfId="0" applyFont="1" applyBorder="1" applyAlignment="1">
      <alignment vertical="center" wrapText="1"/>
    </xf>
    <xf numFmtId="0" fontId="1" fillId="0" borderId="16" xfId="0" applyFont="1" applyBorder="1"/>
    <xf numFmtId="0" fontId="1" fillId="0" borderId="3" xfId="0" applyFont="1" applyBorder="1"/>
    <xf numFmtId="0" fontId="1" fillId="0" borderId="17" xfId="0" applyFont="1" applyBorder="1"/>
    <xf numFmtId="0" fontId="1" fillId="0" borderId="8" xfId="0" applyFont="1" applyBorder="1"/>
    <xf numFmtId="0" fontId="1" fillId="0" borderId="4" xfId="0" applyFont="1" applyBorder="1"/>
    <xf numFmtId="0" fontId="1" fillId="0" borderId="6" xfId="0" applyFont="1" applyBorder="1" applyAlignment="1">
      <alignment vertical="center"/>
    </xf>
    <xf numFmtId="0" fontId="1" fillId="0" borderId="1" xfId="0" applyFont="1" applyBorder="1" applyAlignment="1">
      <alignment wrapText="1"/>
    </xf>
    <xf numFmtId="0" fontId="2" fillId="0" borderId="1"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wrapText="1"/>
    </xf>
    <xf numFmtId="0" fontId="2" fillId="0" borderId="1" xfId="0" applyFont="1" applyBorder="1"/>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Alignment="1">
      <alignment vertical="top" wrapText="1"/>
    </xf>
    <xf numFmtId="0" fontId="1" fillId="0" borderId="0" xfId="0" applyFont="1" applyBorder="1" applyAlignment="1">
      <alignment horizontal="center"/>
    </xf>
    <xf numFmtId="0" fontId="1" fillId="0" borderId="0" xfId="0" applyFont="1" applyBorder="1" applyAlignment="1">
      <alignment vertical="center" wrapText="1"/>
    </xf>
    <xf numFmtId="0" fontId="5" fillId="0" borderId="1" xfId="1" applyFont="1" applyBorder="1" applyAlignment="1">
      <alignment vertical="center"/>
    </xf>
    <xf numFmtId="0" fontId="1" fillId="0" borderId="1" xfId="0" applyFont="1" applyBorder="1" applyAlignment="1">
      <alignment horizontal="left" vertical="center"/>
    </xf>
    <xf numFmtId="0" fontId="0" fillId="0" borderId="0" xfId="0"/>
    <xf numFmtId="164" fontId="6" fillId="0" borderId="0" xfId="3" applyNumberFormat="1" applyFont="1" applyBorder="1" applyAlignment="1">
      <alignment horizontal="fill"/>
    </xf>
    <xf numFmtId="165" fontId="6" fillId="0" borderId="0" xfId="3" applyNumberFormat="1" applyFont="1" applyBorder="1" applyAlignment="1">
      <alignment horizontal="fill"/>
    </xf>
    <xf numFmtId="0" fontId="6" fillId="0" borderId="19" xfId="3" applyNumberFormat="1" applyFont="1" applyBorder="1" applyAlignment="1"/>
    <xf numFmtId="164" fontId="6" fillId="0" borderId="0" xfId="3" applyNumberFormat="1" applyFont="1" applyFill="1" applyBorder="1" applyAlignment="1"/>
    <xf numFmtId="3" fontId="6" fillId="0" borderId="0" xfId="3" applyNumberFormat="1" applyFont="1" applyBorder="1" applyAlignment="1"/>
    <xf numFmtId="3" fontId="6" fillId="0" borderId="0" xfId="3" applyNumberFormat="1" applyFont="1" applyBorder="1" applyAlignment="1">
      <alignment horizontal="right"/>
    </xf>
    <xf numFmtId="164" fontId="6" fillId="0" borderId="0" xfId="3" applyNumberFormat="1" applyFont="1" applyFill="1" applyBorder="1" applyAlignment="1">
      <alignment horizontal="right"/>
    </xf>
    <xf numFmtId="164" fontId="6" fillId="0" borderId="18" xfId="3" applyNumberFormat="1" applyFont="1" applyBorder="1" applyAlignment="1">
      <alignment horizontal="fill"/>
    </xf>
    <xf numFmtId="164" fontId="6" fillId="0" borderId="24" xfId="3" applyNumberFormat="1" applyFont="1" applyBorder="1" applyAlignment="1">
      <alignment horizontal="fill"/>
    </xf>
    <xf numFmtId="0" fontId="8" fillId="0" borderId="18" xfId="3" applyFont="1" applyBorder="1"/>
    <xf numFmtId="165" fontId="6" fillId="0" borderId="24" xfId="3" applyNumberFormat="1" applyFont="1" applyBorder="1" applyAlignment="1"/>
    <xf numFmtId="0" fontId="6" fillId="0" borderId="25" xfId="3" applyNumberFormat="1" applyFont="1" applyBorder="1" applyAlignment="1"/>
    <xf numFmtId="1" fontId="6" fillId="0" borderId="26" xfId="3" applyNumberFormat="1" applyFont="1" applyBorder="1" applyAlignment="1"/>
    <xf numFmtId="164" fontId="6" fillId="0" borderId="18" xfId="3" applyNumberFormat="1" applyFont="1" applyFill="1" applyBorder="1" applyAlignment="1"/>
    <xf numFmtId="3" fontId="6" fillId="0" borderId="24" xfId="3" applyNumberFormat="1" applyFont="1" applyBorder="1" applyAlignment="1"/>
    <xf numFmtId="164" fontId="6" fillId="0" borderId="18" xfId="3" applyNumberFormat="1" applyFont="1" applyFill="1" applyBorder="1" applyAlignment="1">
      <alignment horizontal="right"/>
    </xf>
    <xf numFmtId="3" fontId="6" fillId="0" borderId="24" xfId="3" applyNumberFormat="1" applyFont="1" applyBorder="1" applyAlignment="1">
      <alignment horizontal="right"/>
    </xf>
    <xf numFmtId="164" fontId="6" fillId="0" borderId="27" xfId="3" applyNumberFormat="1" applyFont="1" applyFill="1" applyBorder="1" applyAlignment="1"/>
    <xf numFmtId="164" fontId="6" fillId="0" borderId="28" xfId="3" applyNumberFormat="1" applyFont="1" applyFill="1" applyBorder="1" applyAlignment="1"/>
    <xf numFmtId="3" fontId="6" fillId="0" borderId="28" xfId="3" applyNumberFormat="1" applyFont="1" applyBorder="1" applyAlignment="1"/>
    <xf numFmtId="3" fontId="6" fillId="0" borderId="29" xfId="3" applyNumberFormat="1" applyFont="1" applyBorder="1" applyAlignment="1"/>
    <xf numFmtId="0" fontId="0" fillId="0" borderId="0" xfId="0" applyAlignment="1"/>
    <xf numFmtId="1" fontId="12" fillId="0" borderId="0" xfId="3" applyNumberFormat="1" applyFont="1" applyBorder="1" applyAlignment="1"/>
    <xf numFmtId="164" fontId="12" fillId="0" borderId="0" xfId="3" applyNumberFormat="1" applyFont="1" applyBorder="1" applyAlignment="1">
      <alignment horizontal="right"/>
    </xf>
    <xf numFmtId="0" fontId="12" fillId="0" borderId="18" xfId="3" applyFont="1" applyBorder="1"/>
    <xf numFmtId="1" fontId="12" fillId="0" borderId="24" xfId="3" applyNumberFormat="1" applyFont="1" applyBorder="1"/>
    <xf numFmtId="166" fontId="12" fillId="0" borderId="0" xfId="3" applyNumberFormat="1" applyFont="1" applyBorder="1"/>
    <xf numFmtId="1" fontId="12" fillId="0" borderId="24" xfId="3" applyNumberFormat="1" applyFont="1" applyBorder="1" applyAlignment="1">
      <alignment horizontal="right"/>
    </xf>
    <xf numFmtId="0" fontId="12" fillId="0" borderId="25" xfId="3" applyFont="1" applyBorder="1"/>
    <xf numFmtId="1" fontId="12" fillId="0" borderId="26" xfId="3" applyNumberFormat="1" applyFont="1" applyFill="1" applyBorder="1" applyAlignment="1" applyProtection="1">
      <alignment horizontal="right"/>
      <protection locked="0"/>
    </xf>
    <xf numFmtId="3" fontId="12" fillId="0" borderId="0" xfId="3" applyNumberFormat="1" applyFont="1" applyBorder="1" applyAlignment="1" applyProtection="1">
      <protection locked="0"/>
    </xf>
    <xf numFmtId="3" fontId="12" fillId="0" borderId="24" xfId="3" applyNumberFormat="1" applyFont="1" applyBorder="1"/>
    <xf numFmtId="3" fontId="12" fillId="0" borderId="0" xfId="3" applyNumberFormat="1" applyFont="1" applyFill="1" applyBorder="1" applyAlignment="1" applyProtection="1">
      <protection locked="0"/>
    </xf>
    <xf numFmtId="3" fontId="12" fillId="0" borderId="24" xfId="3" applyNumberFormat="1" applyFont="1" applyFill="1" applyBorder="1" applyAlignment="1" applyProtection="1">
      <protection locked="0"/>
    </xf>
    <xf numFmtId="3" fontId="12" fillId="0" borderId="24" xfId="3" applyNumberFormat="1" applyFont="1" applyBorder="1" applyAlignment="1" applyProtection="1">
      <protection locked="0"/>
    </xf>
    <xf numFmtId="0" fontId="12" fillId="0" borderId="18" xfId="3" applyFont="1" applyBorder="1" applyAlignment="1">
      <alignment horizontal="right"/>
    </xf>
    <xf numFmtId="3" fontId="12" fillId="0" borderId="0" xfId="3" applyNumberFormat="1" applyFont="1" applyBorder="1" applyAlignment="1" applyProtection="1">
      <alignment horizontal="right"/>
      <protection locked="0"/>
    </xf>
    <xf numFmtId="3" fontId="12" fillId="0" borderId="24" xfId="3" applyNumberFormat="1" applyFont="1" applyBorder="1" applyAlignment="1" applyProtection="1">
      <alignment horizontal="right"/>
      <protection locked="0"/>
    </xf>
    <xf numFmtId="0" fontId="12" fillId="0" borderId="27" xfId="3" applyFont="1" applyBorder="1"/>
    <xf numFmtId="0" fontId="12" fillId="0" borderId="28" xfId="3" applyFont="1" applyBorder="1"/>
    <xf numFmtId="3" fontId="12" fillId="0" borderId="28" xfId="3" applyNumberFormat="1" applyFont="1" applyFill="1" applyBorder="1" applyAlignment="1" applyProtection="1">
      <protection locked="0"/>
    </xf>
    <xf numFmtId="3" fontId="12" fillId="0" borderId="29" xfId="3" applyNumberFormat="1" applyFont="1" applyFill="1" applyBorder="1" applyAlignment="1" applyProtection="1">
      <protection locked="0"/>
    </xf>
    <xf numFmtId="0" fontId="0" fillId="0" borderId="0" xfId="0"/>
    <xf numFmtId="0" fontId="0" fillId="0" borderId="0" xfId="0"/>
    <xf numFmtId="0" fontId="0" fillId="0" borderId="0" xfId="0"/>
    <xf numFmtId="165" fontId="6" fillId="0" borderId="0" xfId="3" applyNumberFormat="1" applyFont="1" applyBorder="1" applyAlignment="1">
      <alignment horizontal="right"/>
    </xf>
    <xf numFmtId="165" fontId="6" fillId="0" borderId="0" xfId="3" applyNumberFormat="1" applyFont="1" applyBorder="1" applyAlignment="1"/>
    <xf numFmtId="1" fontId="6" fillId="0" borderId="19" xfId="3" applyNumberFormat="1" applyFont="1" applyBorder="1" applyAlignment="1" applyProtection="1">
      <protection locked="0"/>
    </xf>
    <xf numFmtId="1" fontId="6" fillId="0" borderId="19" xfId="3" applyNumberFormat="1" applyFont="1" applyBorder="1" applyAlignment="1"/>
    <xf numFmtId="0" fontId="12" fillId="0" borderId="19" xfId="3" applyFont="1" applyBorder="1"/>
    <xf numFmtId="1" fontId="12" fillId="0" borderId="19" xfId="3" applyNumberFormat="1" applyFont="1" applyBorder="1"/>
    <xf numFmtId="0" fontId="12" fillId="0" borderId="0" xfId="3" applyFont="1" applyBorder="1"/>
    <xf numFmtId="1" fontId="12" fillId="0" borderId="0" xfId="3" applyNumberFormat="1" applyFont="1" applyBorder="1"/>
    <xf numFmtId="1" fontId="12" fillId="0" borderId="0" xfId="3" applyNumberFormat="1" applyFont="1" applyFill="1" applyBorder="1" applyAlignment="1"/>
    <xf numFmtId="1" fontId="12" fillId="0" borderId="0" xfId="3" applyNumberFormat="1" applyFont="1" applyBorder="1" applyAlignment="1">
      <alignment horizontal="right"/>
    </xf>
    <xf numFmtId="1" fontId="12" fillId="0" borderId="19" xfId="3" applyNumberFormat="1" applyFont="1" applyFill="1" applyBorder="1" applyAlignment="1" applyProtection="1">
      <alignment horizontal="right"/>
      <protection locked="0"/>
    </xf>
    <xf numFmtId="0" fontId="12" fillId="0" borderId="0" xfId="3" applyFont="1" applyBorder="1" applyAlignment="1"/>
    <xf numFmtId="0" fontId="12" fillId="0" borderId="0" xfId="3" applyFont="1" applyBorder="1" applyAlignment="1">
      <alignment horizontal="right"/>
    </xf>
    <xf numFmtId="1" fontId="12" fillId="0" borderId="20" xfId="3" applyNumberFormat="1" applyFont="1" applyBorder="1"/>
    <xf numFmtId="0" fontId="8" fillId="0" borderId="0" xfId="3" applyFont="1" applyBorder="1"/>
    <xf numFmtId="3" fontId="12" fillId="0" borderId="0" xfId="3" applyNumberFormat="1" applyFont="1" applyBorder="1"/>
    <xf numFmtId="3" fontId="12" fillId="0" borderId="0" xfId="3" applyNumberFormat="1" applyFont="1" applyBorder="1" applyAlignment="1">
      <alignment horizontal="right"/>
    </xf>
    <xf numFmtId="1" fontId="12" fillId="0" borderId="30" xfId="3" applyNumberFormat="1" applyFont="1" applyBorder="1"/>
    <xf numFmtId="0" fontId="12" fillId="0" borderId="18" xfId="3" applyFont="1" applyBorder="1" applyAlignment="1"/>
    <xf numFmtId="3" fontId="12" fillId="0" borderId="24" xfId="3" applyNumberFormat="1" applyFont="1" applyBorder="1" applyAlignment="1">
      <alignment horizontal="right"/>
    </xf>
    <xf numFmtId="0" fontId="8" fillId="0" borderId="28" xfId="3" applyFont="1" applyBorder="1"/>
    <xf numFmtId="3" fontId="12" fillId="0" borderId="28" xfId="3" applyNumberFormat="1" applyFont="1" applyBorder="1"/>
    <xf numFmtId="3" fontId="12" fillId="0" borderId="28" xfId="3" applyNumberFormat="1" applyFont="1" applyBorder="1" applyAlignment="1">
      <alignment horizontal="right"/>
    </xf>
    <xf numFmtId="3" fontId="12" fillId="0" borderId="29" xfId="3" applyNumberFormat="1" applyFont="1" applyBorder="1" applyAlignment="1">
      <alignment horizontal="right"/>
    </xf>
    <xf numFmtId="1" fontId="12" fillId="0" borderId="0" xfId="3" applyNumberFormat="1" applyFont="1" applyAlignment="1">
      <alignment horizontal="left"/>
    </xf>
    <xf numFmtId="0" fontId="12" fillId="0" borderId="0" xfId="3" applyFont="1" applyAlignment="1">
      <alignment horizontal="left"/>
    </xf>
    <xf numFmtId="0" fontId="5" fillId="0" borderId="1" xfId="1" applyFont="1" applyBorder="1" applyAlignment="1">
      <alignment vertical="center" wrapText="1"/>
    </xf>
    <xf numFmtId="0" fontId="1" fillId="0" borderId="15" xfId="0" applyFont="1" applyBorder="1" applyAlignment="1">
      <alignment vertical="center" wrapText="1"/>
    </xf>
    <xf numFmtId="0" fontId="1" fillId="0" borderId="1" xfId="0" applyFont="1" applyBorder="1" applyAlignment="1">
      <alignment horizontal="left" vertical="center" wrapText="1"/>
    </xf>
    <xf numFmtId="0" fontId="14" fillId="0" borderId="0" xfId="0" applyFont="1"/>
    <xf numFmtId="0" fontId="14" fillId="0" borderId="31" xfId="0" applyFont="1" applyBorder="1" applyAlignment="1">
      <alignment horizontal="left" vertical="center" wrapText="1" indent="1"/>
    </xf>
    <xf numFmtId="0" fontId="14" fillId="0" borderId="32" xfId="0" applyFont="1" applyBorder="1" applyAlignment="1">
      <alignment horizontal="left" vertical="center" wrapText="1" indent="1"/>
    </xf>
    <xf numFmtId="0" fontId="14" fillId="0" borderId="31" xfId="0" applyFont="1" applyBorder="1" applyAlignment="1">
      <alignment horizontal="left" vertical="center" indent="1"/>
    </xf>
    <xf numFmtId="0" fontId="14" fillId="0" borderId="31" xfId="0" applyFont="1" applyBorder="1" applyAlignment="1">
      <alignment horizontal="left" wrapText="1" indent="1"/>
    </xf>
    <xf numFmtId="0" fontId="14" fillId="0" borderId="34" xfId="0" applyFont="1" applyBorder="1" applyAlignment="1">
      <alignment vertical="center" wrapText="1"/>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34" xfId="0" applyFont="1" applyBorder="1"/>
    <xf numFmtId="0" fontId="14" fillId="0" borderId="24" xfId="0" applyFont="1" applyBorder="1" applyAlignment="1">
      <alignment vertical="center" wrapText="1"/>
    </xf>
    <xf numFmtId="168" fontId="17" fillId="0" borderId="0" xfId="3" applyNumberFormat="1" applyFont="1" applyBorder="1"/>
    <xf numFmtId="168" fontId="17" fillId="0" borderId="19" xfId="3" applyNumberFormat="1" applyFont="1" applyBorder="1"/>
    <xf numFmtId="0" fontId="14" fillId="0" borderId="21" xfId="0" applyFont="1" applyBorder="1"/>
    <xf numFmtId="0" fontId="14" fillId="0" borderId="22" xfId="0" applyFont="1" applyBorder="1"/>
    <xf numFmtId="0" fontId="14" fillId="0" borderId="23" xfId="0" applyFont="1" applyBorder="1"/>
    <xf numFmtId="0" fontId="14" fillId="0" borderId="18" xfId="0" applyFont="1" applyBorder="1" applyAlignment="1">
      <alignment vertical="center" wrapText="1"/>
    </xf>
    <xf numFmtId="168" fontId="17" fillId="0" borderId="24" xfId="3" applyNumberFormat="1" applyFont="1" applyBorder="1"/>
    <xf numFmtId="0" fontId="14" fillId="0" borderId="48" xfId="0" applyFont="1" applyBorder="1" applyAlignment="1">
      <alignment horizontal="left" indent="1"/>
    </xf>
    <xf numFmtId="0" fontId="14" fillId="0" borderId="18" xfId="0" applyFont="1" applyBorder="1" applyAlignment="1">
      <alignment horizontal="left" indent="1"/>
    </xf>
    <xf numFmtId="168" fontId="14" fillId="0" borderId="24" xfId="0" applyNumberFormat="1" applyFont="1" applyBorder="1"/>
    <xf numFmtId="0" fontId="14" fillId="0" borderId="25" xfId="0" applyFont="1" applyBorder="1" applyAlignment="1">
      <alignment horizontal="left" indent="1"/>
    </xf>
    <xf numFmtId="168" fontId="17" fillId="0" borderId="26" xfId="3" applyNumberFormat="1" applyFont="1" applyBorder="1"/>
    <xf numFmtId="0" fontId="14" fillId="0" borderId="27" xfId="0" applyFont="1" applyBorder="1"/>
    <xf numFmtId="168" fontId="14" fillId="0" borderId="28" xfId="0" applyNumberFormat="1" applyFont="1" applyBorder="1"/>
    <xf numFmtId="168" fontId="14" fillId="33" borderId="28" xfId="0" applyNumberFormat="1" applyFont="1" applyFill="1" applyBorder="1"/>
    <xf numFmtId="168" fontId="14" fillId="0" borderId="29" xfId="0" applyNumberFormat="1" applyFont="1" applyBorder="1"/>
    <xf numFmtId="168" fontId="1" fillId="0" borderId="13" xfId="0" applyNumberFormat="1" applyFont="1" applyBorder="1" applyAlignment="1">
      <alignment vertical="center"/>
    </xf>
    <xf numFmtId="168" fontId="1" fillId="0" borderId="2" xfId="0" applyNumberFormat="1" applyFont="1" applyBorder="1" applyAlignment="1">
      <alignment vertical="center"/>
    </xf>
    <xf numFmtId="0" fontId="1" fillId="0" borderId="0" xfId="0" applyFont="1" applyBorder="1"/>
    <xf numFmtId="0" fontId="1" fillId="0" borderId="0" xfId="0" applyFont="1"/>
    <xf numFmtId="0" fontId="1" fillId="0" borderId="1" xfId="0" applyFont="1" applyBorder="1" applyAlignment="1">
      <alignment horizontal="left" vertical="center" wrapText="1"/>
    </xf>
    <xf numFmtId="168" fontId="14" fillId="0" borderId="0" xfId="0" applyNumberFormat="1" applyFont="1"/>
    <xf numFmtId="168" fontId="14" fillId="0" borderId="0" xfId="0" applyNumberFormat="1" applyFont="1" applyFill="1"/>
    <xf numFmtId="0" fontId="14" fillId="0" borderId="0" xfId="0" applyFont="1" applyFill="1"/>
    <xf numFmtId="168" fontId="54" fillId="0" borderId="0" xfId="0" applyNumberFormat="1" applyFont="1"/>
    <xf numFmtId="168" fontId="54" fillId="0" borderId="0" xfId="0" applyNumberFormat="1" applyFont="1" applyFill="1"/>
    <xf numFmtId="0" fontId="14" fillId="0" borderId="50" xfId="0" applyFont="1" applyBorder="1" applyAlignment="1">
      <alignment vertical="center" wrapText="1"/>
    </xf>
    <xf numFmtId="0" fontId="15" fillId="0" borderId="34" xfId="0" applyFont="1" applyBorder="1"/>
    <xf numFmtId="168" fontId="17" fillId="0" borderId="30" xfId="3" applyNumberFormat="1" applyFont="1" applyBorder="1"/>
    <xf numFmtId="0" fontId="14" fillId="0" borderId="0" xfId="0" applyFont="1" applyAlignment="1">
      <alignment vertical="center"/>
    </xf>
    <xf numFmtId="168" fontId="14" fillId="0" borderId="0" xfId="0" applyNumberFormat="1" applyFont="1" applyAlignment="1">
      <alignment vertical="center"/>
    </xf>
    <xf numFmtId="168" fontId="14" fillId="0" borderId="0" xfId="0" applyNumberFormat="1" applyFont="1" applyAlignment="1">
      <alignment horizontal="right" vertical="center"/>
    </xf>
    <xf numFmtId="0" fontId="14" fillId="0" borderId="0" xfId="0" applyFont="1" applyAlignment="1">
      <alignment horizontal="right" vertical="center"/>
    </xf>
    <xf numFmtId="168" fontId="54" fillId="0" borderId="0" xfId="0" applyNumberFormat="1" applyFont="1" applyAlignment="1">
      <alignment horizontal="righ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4" fillId="0" borderId="17" xfId="0" applyFont="1" applyBorder="1"/>
    <xf numFmtId="0" fontId="55" fillId="34" borderId="37" xfId="0" applyFont="1" applyFill="1" applyBorder="1" applyAlignment="1">
      <alignment wrapText="1"/>
    </xf>
    <xf numFmtId="0" fontId="14" fillId="0" borderId="0" xfId="0" applyFont="1" applyBorder="1" applyAlignment="1">
      <alignment vertical="center"/>
    </xf>
    <xf numFmtId="0" fontId="14" fillId="0" borderId="5" xfId="0" applyFont="1" applyBorder="1" applyAlignment="1">
      <alignment vertical="center"/>
    </xf>
    <xf numFmtId="167" fontId="15" fillId="0" borderId="14" xfId="0" applyNumberFormat="1" applyFont="1" applyBorder="1" applyAlignment="1">
      <alignment vertical="center"/>
    </xf>
    <xf numFmtId="167" fontId="15" fillId="0" borderId="4" xfId="0" applyNumberFormat="1" applyFont="1" applyBorder="1" applyAlignment="1">
      <alignment vertical="center"/>
    </xf>
    <xf numFmtId="168" fontId="14" fillId="0" borderId="0" xfId="0" applyNumberFormat="1" applyFont="1" applyBorder="1" applyAlignment="1">
      <alignment vertical="center"/>
    </xf>
    <xf numFmtId="168" fontId="14" fillId="0" borderId="5" xfId="0" applyNumberFormat="1" applyFont="1" applyBorder="1" applyAlignment="1">
      <alignment vertical="center"/>
    </xf>
    <xf numFmtId="168" fontId="14" fillId="0" borderId="51" xfId="0" applyNumberFormat="1" applyFont="1" applyBorder="1" applyAlignment="1">
      <alignment vertical="center"/>
    </xf>
    <xf numFmtId="168" fontId="14" fillId="0" borderId="14" xfId="0" applyNumberFormat="1" applyFont="1" applyBorder="1" applyAlignment="1">
      <alignment vertical="center"/>
    </xf>
    <xf numFmtId="168" fontId="14" fillId="0" borderId="4" xfId="0" applyNumberFormat="1" applyFont="1" applyBorder="1" applyAlignment="1">
      <alignment vertical="center"/>
    </xf>
    <xf numFmtId="167" fontId="15" fillId="0" borderId="13" xfId="0" applyNumberFormat="1" applyFont="1" applyBorder="1" applyAlignment="1">
      <alignment vertical="center"/>
    </xf>
    <xf numFmtId="167" fontId="15" fillId="0" borderId="2" xfId="0" applyNumberFormat="1" applyFont="1" applyBorder="1" applyAlignment="1">
      <alignment vertical="center"/>
    </xf>
    <xf numFmtId="168" fontId="14" fillId="0" borderId="33" xfId="0" applyNumberFormat="1" applyFont="1" applyBorder="1" applyAlignment="1">
      <alignment vertical="center"/>
    </xf>
    <xf numFmtId="168" fontId="14" fillId="0" borderId="15" xfId="0" applyNumberFormat="1" applyFont="1" applyBorder="1" applyAlignment="1">
      <alignment vertical="center"/>
    </xf>
    <xf numFmtId="0" fontId="14" fillId="0" borderId="15" xfId="0" applyFont="1" applyBorder="1" applyAlignment="1">
      <alignment vertical="center"/>
    </xf>
    <xf numFmtId="0" fontId="14" fillId="0" borderId="0" xfId="0" applyFont="1" applyBorder="1" applyAlignment="1">
      <alignment horizontal="right" vertical="center"/>
    </xf>
    <xf numFmtId="0" fontId="14" fillId="0" borderId="33" xfId="0" applyFont="1" applyBorder="1" applyAlignment="1">
      <alignment horizontal="right" vertical="center"/>
    </xf>
    <xf numFmtId="168" fontId="14" fillId="0" borderId="0" xfId="0" applyNumberFormat="1" applyFont="1" applyBorder="1" applyAlignment="1">
      <alignment horizontal="right" vertical="center"/>
    </xf>
    <xf numFmtId="168" fontId="14" fillId="0" borderId="5" xfId="0" applyNumberFormat="1" applyFont="1" applyBorder="1" applyAlignment="1">
      <alignment horizontal="right" vertical="center"/>
    </xf>
    <xf numFmtId="168" fontId="14" fillId="0" borderId="14" xfId="0" applyNumberFormat="1" applyFont="1" applyBorder="1" applyAlignment="1">
      <alignment horizontal="right" vertical="center"/>
    </xf>
    <xf numFmtId="167" fontId="14" fillId="0" borderId="0" xfId="0" applyNumberFormat="1" applyFont="1" applyBorder="1" applyAlignment="1">
      <alignment vertical="center"/>
    </xf>
    <xf numFmtId="167" fontId="14" fillId="0" borderId="5" xfId="0" applyNumberFormat="1" applyFont="1" applyBorder="1" applyAlignment="1">
      <alignment vertical="center"/>
    </xf>
    <xf numFmtId="168" fontId="14" fillId="0" borderId="13" xfId="0" applyNumberFormat="1" applyFont="1" applyBorder="1" applyAlignment="1">
      <alignment vertical="center"/>
    </xf>
    <xf numFmtId="168" fontId="14" fillId="0" borderId="2" xfId="0" applyNumberFormat="1" applyFont="1" applyBorder="1" applyAlignment="1">
      <alignment vertical="center"/>
    </xf>
    <xf numFmtId="167" fontId="15" fillId="0" borderId="47" xfId="0" applyNumberFormat="1" applyFont="1" applyBorder="1" applyAlignment="1">
      <alignment vertical="center"/>
    </xf>
    <xf numFmtId="0" fontId="43" fillId="0" borderId="0" xfId="0" applyFont="1"/>
    <xf numFmtId="0" fontId="2" fillId="0" borderId="0" xfId="0" applyFont="1" applyBorder="1" applyAlignment="1">
      <alignment vertical="center" wrapText="1"/>
    </xf>
    <xf numFmtId="168" fontId="14" fillId="0" borderId="0" xfId="0" applyNumberFormat="1" applyFont="1" applyAlignment="1">
      <alignment vertical="center"/>
    </xf>
    <xf numFmtId="168" fontId="54" fillId="0" borderId="0" xfId="0" applyNumberFormat="1" applyFont="1" applyAlignment="1">
      <alignment vertical="center"/>
    </xf>
    <xf numFmtId="168" fontId="14" fillId="0" borderId="5" xfId="0" applyNumberFormat="1" applyFont="1" applyBorder="1" applyAlignment="1">
      <alignment vertical="center"/>
    </xf>
    <xf numFmtId="168" fontId="14" fillId="0" borderId="0" xfId="0" applyNumberFormat="1" applyFont="1" applyBorder="1" applyAlignment="1">
      <alignment horizontal="right" vertical="center"/>
    </xf>
    <xf numFmtId="0" fontId="1" fillId="0" borderId="1" xfId="0" applyFont="1" applyBorder="1" applyAlignment="1">
      <alignment horizontal="left" vertical="center"/>
    </xf>
    <xf numFmtId="0" fontId="43" fillId="0" borderId="54" xfId="0" applyFont="1" applyBorder="1" applyAlignment="1">
      <alignment wrapText="1"/>
    </xf>
    <xf numFmtId="0" fontId="61" fillId="0" borderId="35" xfId="0" applyFont="1" applyBorder="1"/>
    <xf numFmtId="0" fontId="43" fillId="0" borderId="33" xfId="0" applyFont="1" applyBorder="1"/>
    <xf numFmtId="0" fontId="43" fillId="0" borderId="0" xfId="0" applyFont="1" applyBorder="1"/>
    <xf numFmtId="0" fontId="43" fillId="0" borderId="55" xfId="0" applyFont="1" applyBorder="1" applyAlignment="1">
      <alignment horizontal="left" vertical="center" wrapText="1" indent="1"/>
    </xf>
    <xf numFmtId="3" fontId="43" fillId="0" borderId="0" xfId="0" applyNumberFormat="1" applyFont="1" applyBorder="1"/>
    <xf numFmtId="170" fontId="43" fillId="0" borderId="0" xfId="4" applyNumberFormat="1" applyFont="1" applyBorder="1" applyAlignment="1">
      <alignment horizontal="center" vertical="center"/>
    </xf>
    <xf numFmtId="0" fontId="43" fillId="0" borderId="0" xfId="0" applyFont="1" applyBorder="1" applyAlignment="1">
      <alignment wrapText="1"/>
    </xf>
    <xf numFmtId="0" fontId="43" fillId="0" borderId="14" xfId="0" applyFont="1" applyBorder="1" applyAlignment="1">
      <alignment wrapText="1"/>
    </xf>
    <xf numFmtId="0" fontId="60" fillId="0" borderId="15" xfId="0" applyFont="1" applyBorder="1"/>
    <xf numFmtId="0" fontId="43" fillId="0" borderId="5" xfId="0" applyFont="1" applyBorder="1"/>
    <xf numFmtId="170" fontId="43" fillId="0" borderId="5" xfId="4" applyNumberFormat="1" applyFont="1" applyBorder="1" applyAlignment="1">
      <alignment horizontal="center" vertical="center"/>
    </xf>
    <xf numFmtId="0" fontId="58" fillId="0" borderId="55" xfId="0" applyFont="1" applyBorder="1" applyAlignment="1">
      <alignment horizontal="left" vertical="center" wrapText="1" indent="1"/>
    </xf>
    <xf numFmtId="3" fontId="43" fillId="0" borderId="0" xfId="0" applyNumberFormat="1" applyFont="1" applyBorder="1" applyAlignment="1">
      <alignment vertical="center"/>
    </xf>
    <xf numFmtId="0" fontId="43" fillId="0" borderId="5" xfId="0" applyFont="1" applyBorder="1" applyAlignment="1">
      <alignment vertical="center"/>
    </xf>
    <xf numFmtId="0" fontId="43" fillId="0" borderId="0" xfId="0" applyFont="1" applyBorder="1" applyAlignment="1">
      <alignment vertical="center"/>
    </xf>
    <xf numFmtId="172" fontId="43" fillId="0" borderId="0" xfId="0" applyNumberFormat="1" applyFont="1" applyBorder="1" applyAlignment="1">
      <alignment vertical="center"/>
    </xf>
    <xf numFmtId="3" fontId="58" fillId="0" borderId="0" xfId="0" applyNumberFormat="1" applyFont="1" applyBorder="1" applyAlignment="1">
      <alignment vertical="center"/>
    </xf>
    <xf numFmtId="3" fontId="43" fillId="0" borderId="5" xfId="0" applyNumberFormat="1" applyFont="1" applyBorder="1" applyAlignment="1">
      <alignment vertical="center"/>
    </xf>
    <xf numFmtId="169" fontId="43" fillId="0" borderId="0" xfId="0" applyNumberFormat="1" applyFont="1" applyBorder="1" applyAlignment="1">
      <alignment vertical="center"/>
    </xf>
    <xf numFmtId="169" fontId="58" fillId="0" borderId="0" xfId="0" applyNumberFormat="1" applyFont="1" applyBorder="1" applyAlignment="1">
      <alignment vertical="center"/>
    </xf>
    <xf numFmtId="167" fontId="59" fillId="0" borderId="0" xfId="8" applyNumberFormat="1" applyFont="1" applyBorder="1" applyAlignment="1">
      <alignment horizontal="right" vertical="center"/>
    </xf>
    <xf numFmtId="170" fontId="43" fillId="0" borderId="0" xfId="4" applyNumberFormat="1" applyFont="1" applyBorder="1" applyAlignment="1">
      <alignment vertical="center"/>
    </xf>
    <xf numFmtId="170" fontId="43" fillId="0" borderId="5" xfId="4" applyNumberFormat="1" applyFont="1" applyBorder="1" applyAlignment="1">
      <alignment vertical="center"/>
    </xf>
    <xf numFmtId="168" fontId="43" fillId="0" borderId="0" xfId="0" applyNumberFormat="1" applyFont="1" applyBorder="1" applyAlignment="1">
      <alignment vertical="center"/>
    </xf>
    <xf numFmtId="0" fontId="43" fillId="0" borderId="0" xfId="0" applyFont="1" applyBorder="1" applyAlignment="1">
      <alignment vertical="center" wrapText="1"/>
    </xf>
    <xf numFmtId="168" fontId="58" fillId="0" borderId="0" xfId="0" applyNumberFormat="1" applyFont="1" applyBorder="1" applyAlignment="1">
      <alignment vertical="center" wrapText="1"/>
    </xf>
    <xf numFmtId="0" fontId="43" fillId="0" borderId="5" xfId="0" applyFont="1" applyBorder="1" applyAlignment="1">
      <alignment vertical="center" wrapText="1"/>
    </xf>
    <xf numFmtId="168" fontId="43" fillId="0" borderId="0" xfId="0" applyNumberFormat="1" applyFont="1" applyBorder="1" applyAlignment="1">
      <alignment vertical="center" wrapText="1"/>
    </xf>
    <xf numFmtId="0" fontId="43" fillId="0" borderId="14" xfId="0" applyFont="1" applyBorder="1" applyAlignment="1">
      <alignment vertical="center" wrapText="1"/>
    </xf>
    <xf numFmtId="168" fontId="43" fillId="0" borderId="14" xfId="0" applyNumberFormat="1" applyFont="1" applyBorder="1" applyAlignment="1">
      <alignment vertical="center" wrapText="1"/>
    </xf>
    <xf numFmtId="0" fontId="58" fillId="0" borderId="0" xfId="0" applyFont="1" applyBorder="1" applyAlignment="1">
      <alignment horizontal="left" vertical="center" wrapText="1" indent="1"/>
    </xf>
    <xf numFmtId="168" fontId="43" fillId="0" borderId="5" xfId="0" applyNumberFormat="1" applyFont="1" applyBorder="1" applyAlignment="1">
      <alignment vertical="center"/>
    </xf>
    <xf numFmtId="0" fontId="60" fillId="0" borderId="56" xfId="0" applyFont="1" applyBorder="1" applyAlignment="1">
      <alignment horizontal="left" wrapText="1"/>
    </xf>
    <xf numFmtId="0" fontId="43" fillId="0" borderId="55" xfId="0" applyFont="1" applyBorder="1" applyAlignment="1">
      <alignment horizontal="left" vertical="center" wrapText="1"/>
    </xf>
    <xf numFmtId="0" fontId="58" fillId="0" borderId="57" xfId="0" applyFont="1" applyBorder="1" applyAlignment="1">
      <alignment horizontal="left" vertical="center" wrapText="1" indent="1"/>
    </xf>
    <xf numFmtId="0" fontId="43" fillId="0" borderId="14" xfId="0" applyFont="1" applyBorder="1" applyAlignment="1">
      <alignment vertical="center"/>
    </xf>
    <xf numFmtId="168" fontId="43" fillId="0" borderId="14" xfId="0" applyNumberFormat="1" applyFont="1" applyBorder="1" applyAlignment="1">
      <alignment vertical="center"/>
    </xf>
    <xf numFmtId="0" fontId="43" fillId="0" borderId="4" xfId="0" applyFont="1" applyBorder="1" applyAlignment="1">
      <alignment vertical="center"/>
    </xf>
    <xf numFmtId="0" fontId="60" fillId="0" borderId="17" xfId="0" applyFont="1" applyBorder="1" applyAlignment="1">
      <alignment vertical="center" wrapText="1"/>
    </xf>
    <xf numFmtId="0" fontId="43" fillId="0" borderId="14" xfId="0" applyFont="1" applyBorder="1"/>
    <xf numFmtId="168" fontId="58" fillId="0" borderId="14" xfId="0" applyNumberFormat="1" applyFont="1" applyBorder="1" applyAlignment="1">
      <alignment vertical="center" wrapText="1"/>
    </xf>
    <xf numFmtId="168" fontId="58" fillId="0" borderId="4" xfId="0" applyNumberFormat="1" applyFont="1" applyBorder="1" applyAlignment="1">
      <alignment vertical="center" wrapText="1"/>
    </xf>
    <xf numFmtId="0" fontId="60" fillId="0" borderId="11" xfId="0" applyFont="1" applyBorder="1" applyAlignment="1">
      <alignment horizontal="left" vertical="center" wrapText="1"/>
    </xf>
    <xf numFmtId="0" fontId="43" fillId="0" borderId="4" xfId="0" applyFont="1" applyBorder="1"/>
    <xf numFmtId="0" fontId="60" fillId="0" borderId="15" xfId="0" applyFont="1" applyBorder="1" applyAlignment="1">
      <alignment horizontal="left" wrapText="1"/>
    </xf>
    <xf numFmtId="0" fontId="43" fillId="0" borderId="33" xfId="0" applyFont="1" applyBorder="1" applyAlignment="1">
      <alignment vertical="center" wrapText="1"/>
    </xf>
    <xf numFmtId="168" fontId="43" fillId="0" borderId="33" xfId="0" applyNumberFormat="1" applyFont="1" applyBorder="1" applyAlignment="1">
      <alignment vertical="center" wrapText="1"/>
    </xf>
    <xf numFmtId="168" fontId="58" fillId="0" borderId="33" xfId="0" applyNumberFormat="1" applyFont="1" applyBorder="1" applyAlignment="1">
      <alignment vertical="center" wrapText="1"/>
    </xf>
    <xf numFmtId="168" fontId="58" fillId="0" borderId="15" xfId="0" applyNumberFormat="1" applyFont="1" applyBorder="1" applyAlignment="1">
      <alignment vertical="center" wrapText="1"/>
    </xf>
    <xf numFmtId="0" fontId="58" fillId="0" borderId="58" xfId="0" applyFont="1" applyBorder="1" applyAlignment="1">
      <alignment horizontal="left" vertical="center" wrapText="1" indent="1"/>
    </xf>
    <xf numFmtId="172" fontId="43" fillId="0" borderId="14" xfId="0" applyNumberFormat="1" applyFont="1" applyBorder="1" applyAlignment="1">
      <alignment vertical="center"/>
    </xf>
    <xf numFmtId="0" fontId="61" fillId="0" borderId="11" xfId="0" applyFont="1" applyBorder="1" applyAlignment="1">
      <alignment horizontal="left" vertical="center" wrapText="1"/>
    </xf>
    <xf numFmtId="3" fontId="43" fillId="0" borderId="14" xfId="0" applyNumberFormat="1" applyFont="1" applyBorder="1" applyAlignment="1">
      <alignment vertical="center"/>
    </xf>
    <xf numFmtId="10" fontId="43" fillId="0" borderId="14" xfId="4" applyNumberFormat="1" applyFont="1" applyBorder="1" applyAlignment="1">
      <alignment vertical="center"/>
    </xf>
    <xf numFmtId="3" fontId="43" fillId="0" borderId="4" xfId="0" applyNumberFormat="1" applyFont="1" applyBorder="1" applyAlignment="1">
      <alignment vertical="center"/>
    </xf>
    <xf numFmtId="0" fontId="58" fillId="0" borderId="56" xfId="0" applyFont="1" applyBorder="1" applyAlignment="1">
      <alignment horizontal="left" vertical="center" wrapText="1" indent="1"/>
    </xf>
    <xf numFmtId="0" fontId="58" fillId="0" borderId="56" xfId="0" applyFont="1" applyBorder="1" applyAlignment="1">
      <alignment horizontal="left" vertical="center" indent="1"/>
    </xf>
    <xf numFmtId="0" fontId="57" fillId="0" borderId="56" xfId="0" applyFont="1" applyBorder="1" applyAlignment="1">
      <alignment horizontal="left" vertical="center" wrapText="1"/>
    </xf>
    <xf numFmtId="0" fontId="58" fillId="0" borderId="56" xfId="0" applyFont="1" applyBorder="1" applyAlignment="1">
      <alignment horizontal="left" vertical="center" wrapText="1"/>
    </xf>
    <xf numFmtId="0" fontId="43" fillId="0" borderId="56" xfId="0" applyFont="1" applyBorder="1" applyAlignment="1">
      <alignment horizontal="left" vertical="center" wrapText="1"/>
    </xf>
    <xf numFmtId="0" fontId="43" fillId="0" borderId="59" xfId="0" applyFont="1" applyBorder="1" applyAlignment="1">
      <alignment horizontal="left" vertical="center" wrapText="1"/>
    </xf>
    <xf numFmtId="1" fontId="12" fillId="0" borderId="18" xfId="3" applyNumberFormat="1" applyFont="1" applyBorder="1" applyAlignment="1"/>
    <xf numFmtId="164" fontId="12" fillId="0" borderId="28" xfId="3" applyNumberFormat="1" applyFont="1" applyBorder="1" applyAlignment="1"/>
    <xf numFmtId="0" fontId="65" fillId="0" borderId="22" xfId="0" applyFont="1" applyBorder="1"/>
    <xf numFmtId="168" fontId="17" fillId="0" borderId="0" xfId="3" applyNumberFormat="1" applyFont="1" applyFill="1" applyBorder="1"/>
    <xf numFmtId="0" fontId="14" fillId="0" borderId="22" xfId="0" applyFont="1" applyFill="1" applyBorder="1"/>
    <xf numFmtId="0" fontId="8" fillId="0" borderId="0" xfId="3"/>
    <xf numFmtId="165" fontId="6" fillId="0" borderId="0" xfId="3" applyNumberFormat="1" applyFont="1" applyBorder="1" applyAlignment="1">
      <alignment horizontal="right"/>
    </xf>
    <xf numFmtId="0" fontId="6" fillId="0" borderId="0" xfId="0" applyFont="1"/>
    <xf numFmtId="0" fontId="12" fillId="0" borderId="19" xfId="3" applyFont="1" applyBorder="1"/>
    <xf numFmtId="1" fontId="12" fillId="0" borderId="19" xfId="3" applyNumberFormat="1" applyFont="1" applyBorder="1"/>
    <xf numFmtId="0" fontId="12" fillId="0" borderId="0" xfId="3" applyFont="1" applyBorder="1"/>
    <xf numFmtId="1" fontId="12" fillId="0" borderId="0" xfId="3" applyNumberFormat="1" applyFont="1" applyBorder="1"/>
    <xf numFmtId="1" fontId="12" fillId="0" borderId="0" xfId="3" applyNumberFormat="1" applyFont="1" applyBorder="1" applyAlignment="1">
      <alignment horizontal="right"/>
    </xf>
    <xf numFmtId="1" fontId="12" fillId="0" borderId="0" xfId="3" applyNumberFormat="1" applyFont="1" applyBorder="1" applyAlignment="1"/>
    <xf numFmtId="0" fontId="12" fillId="0" borderId="0" xfId="3" applyFont="1" applyBorder="1" applyAlignment="1"/>
    <xf numFmtId="0" fontId="12" fillId="0" borderId="0" xfId="3" applyFont="1" applyBorder="1" applyAlignment="1">
      <alignment horizontal="right"/>
    </xf>
    <xf numFmtId="164" fontId="12" fillId="0" borderId="0" xfId="3" applyNumberFormat="1" applyFont="1" applyBorder="1" applyAlignment="1">
      <alignment horizontal="right"/>
    </xf>
    <xf numFmtId="1" fontId="12" fillId="0" borderId="20" xfId="3" applyNumberFormat="1" applyFont="1" applyBorder="1"/>
    <xf numFmtId="168" fontId="17" fillId="0" borderId="0" xfId="0" applyNumberFormat="1" applyFont="1" applyFill="1"/>
    <xf numFmtId="168" fontId="4" fillId="34" borderId="53" xfId="0" applyNumberFormat="1" applyFont="1" applyFill="1" applyBorder="1" applyAlignment="1">
      <alignment horizontal="right" vertical="center"/>
    </xf>
    <xf numFmtId="168" fontId="4" fillId="34" borderId="49" xfId="0" applyNumberFormat="1" applyFont="1" applyFill="1" applyBorder="1" applyAlignment="1">
      <alignment horizontal="right" vertical="center"/>
    </xf>
    <xf numFmtId="168" fontId="56" fillId="34" borderId="53" xfId="0" applyNumberFormat="1" applyFont="1" applyFill="1" applyBorder="1" applyAlignment="1">
      <alignment horizontal="right" vertical="center"/>
    </xf>
    <xf numFmtId="168" fontId="56" fillId="34" borderId="49" xfId="0" applyNumberFormat="1" applyFont="1" applyFill="1" applyBorder="1" applyAlignment="1">
      <alignment horizontal="right" vertical="center"/>
    </xf>
    <xf numFmtId="168" fontId="56" fillId="34" borderId="52" xfId="0" applyNumberFormat="1" applyFont="1" applyFill="1" applyBorder="1" applyAlignment="1">
      <alignment horizontal="right" vertical="center"/>
    </xf>
    <xf numFmtId="164" fontId="6" fillId="0" borderId="0" xfId="3" applyNumberFormat="1" applyFont="1" applyAlignment="1">
      <alignment horizontal="fill"/>
    </xf>
    <xf numFmtId="165" fontId="6" fillId="0" borderId="0" xfId="3" applyNumberFormat="1" applyFont="1" applyAlignment="1">
      <alignment horizontal="fill"/>
    </xf>
    <xf numFmtId="165" fontId="6" fillId="0" borderId="0" xfId="3" applyNumberFormat="1" applyFont="1" applyAlignment="1">
      <alignment horizontal="right"/>
    </xf>
    <xf numFmtId="165" fontId="6" fillId="0" borderId="0" xfId="3" applyNumberFormat="1" applyFont="1"/>
    <xf numFmtId="0" fontId="6" fillId="0" borderId="19" xfId="3" applyFont="1" applyBorder="1"/>
    <xf numFmtId="1" fontId="6" fillId="0" borderId="19" xfId="3" applyNumberFormat="1" applyFont="1" applyBorder="1" applyProtection="1">
      <protection locked="0"/>
    </xf>
    <xf numFmtId="1" fontId="6" fillId="0" borderId="19" xfId="3" applyNumberFormat="1" applyFont="1" applyBorder="1"/>
    <xf numFmtId="164" fontId="6" fillId="0" borderId="0" xfId="3" applyNumberFormat="1" applyFont="1"/>
    <xf numFmtId="3" fontId="6" fillId="0" borderId="0" xfId="3" applyNumberFormat="1" applyFont="1"/>
    <xf numFmtId="164" fontId="6" fillId="0" borderId="0" xfId="3" applyNumberFormat="1" applyFont="1" applyAlignment="1">
      <alignment horizontal="right"/>
    </xf>
    <xf numFmtId="3" fontId="6" fillId="0" borderId="0" xfId="3" applyNumberFormat="1" applyFont="1" applyAlignment="1">
      <alignment horizontal="right"/>
    </xf>
    <xf numFmtId="165" fontId="6" fillId="0" borderId="24" xfId="3" applyNumberFormat="1" applyFont="1" applyBorder="1"/>
    <xf numFmtId="1" fontId="6" fillId="0" borderId="26" xfId="3" applyNumberFormat="1" applyFont="1" applyBorder="1"/>
    <xf numFmtId="3" fontId="6" fillId="0" borderId="24" xfId="3" applyNumberFormat="1" applyFont="1" applyBorder="1"/>
    <xf numFmtId="0" fontId="0" fillId="0" borderId="24" xfId="0" applyBorder="1"/>
    <xf numFmtId="0" fontId="0" fillId="0" borderId="18" xfId="0" applyBorder="1"/>
    <xf numFmtId="0" fontId="0" fillId="0" borderId="28" xfId="0" applyBorder="1"/>
    <xf numFmtId="0" fontId="0" fillId="0" borderId="29" xfId="0" applyBorder="1"/>
    <xf numFmtId="0" fontId="8" fillId="0" borderId="18" xfId="3" applyBorder="1"/>
    <xf numFmtId="0" fontId="6" fillId="0" borderId="25" xfId="3" applyFont="1" applyBorder="1"/>
    <xf numFmtId="164" fontId="6" fillId="0" borderId="18" xfId="3" applyNumberFormat="1" applyFont="1" applyBorder="1"/>
    <xf numFmtId="164" fontId="6" fillId="0" borderId="18" xfId="3" applyNumberFormat="1" applyFont="1" applyBorder="1" applyAlignment="1">
      <alignment horizontal="right"/>
    </xf>
    <xf numFmtId="0" fontId="0" fillId="0" borderId="27" xfId="0" applyBorder="1"/>
    <xf numFmtId="1" fontId="12" fillId="0" borderId="19" xfId="3" applyNumberFormat="1" applyFont="1" applyBorder="1" applyAlignment="1" applyProtection="1">
      <alignment horizontal="right"/>
      <protection locked="0"/>
    </xf>
    <xf numFmtId="0" fontId="6" fillId="0" borderId="19" xfId="0" applyFont="1" applyBorder="1"/>
    <xf numFmtId="0" fontId="9" fillId="0" borderId="21" xfId="0" applyFont="1" applyBorder="1"/>
    <xf numFmtId="0" fontId="6" fillId="0" borderId="22" xfId="0" applyFont="1" applyBorder="1"/>
    <xf numFmtId="0" fontId="6" fillId="0" borderId="23" xfId="0" applyFont="1" applyBorder="1"/>
    <xf numFmtId="0" fontId="9" fillId="0" borderId="18" xfId="0" applyFont="1" applyBorder="1"/>
    <xf numFmtId="0" fontId="6" fillId="0" borderId="0" xfId="0" applyFont="1" applyBorder="1"/>
    <xf numFmtId="0" fontId="6" fillId="0" borderId="24" xfId="0" applyFont="1" applyBorder="1"/>
    <xf numFmtId="0" fontId="6" fillId="0" borderId="18" xfId="0" applyFont="1" applyBorder="1"/>
    <xf numFmtId="0" fontId="6" fillId="0" borderId="25" xfId="0" applyFont="1" applyBorder="1"/>
    <xf numFmtId="1" fontId="12" fillId="0" borderId="26" xfId="3" applyNumberFormat="1" applyFont="1" applyBorder="1" applyAlignment="1" applyProtection="1">
      <alignment horizontal="right"/>
      <protection locked="0"/>
    </xf>
    <xf numFmtId="3" fontId="12" fillId="0" borderId="0" xfId="3" applyNumberFormat="1" applyFont="1" applyBorder="1" applyProtection="1">
      <protection locked="0"/>
    </xf>
    <xf numFmtId="3" fontId="12" fillId="0" borderId="24" xfId="3" applyNumberFormat="1" applyFont="1" applyBorder="1" applyProtection="1">
      <protection locked="0"/>
    </xf>
    <xf numFmtId="3" fontId="12" fillId="0" borderId="28" xfId="3" applyNumberFormat="1" applyFont="1" applyBorder="1" applyProtection="1">
      <protection locked="0"/>
    </xf>
    <xf numFmtId="3" fontId="12" fillId="0" borderId="29" xfId="3" applyNumberFormat="1" applyFont="1" applyBorder="1" applyProtection="1">
      <protection locked="0"/>
    </xf>
    <xf numFmtId="0" fontId="6" fillId="0" borderId="26" xfId="0" applyFont="1" applyBorder="1"/>
    <xf numFmtId="0" fontId="0" fillId="0" borderId="23" xfId="0" applyBorder="1"/>
    <xf numFmtId="0" fontId="8" fillId="0" borderId="0" xfId="3" applyBorder="1"/>
    <xf numFmtId="165" fontId="6" fillId="0" borderId="0" xfId="3" applyNumberFormat="1" applyFont="1" applyBorder="1"/>
    <xf numFmtId="1" fontId="6" fillId="0" borderId="26" xfId="3" applyNumberFormat="1" applyFont="1" applyBorder="1" applyProtection="1">
      <protection locked="0"/>
    </xf>
    <xf numFmtId="0" fontId="8" fillId="0" borderId="28" xfId="3" applyBorder="1"/>
    <xf numFmtId="0" fontId="1" fillId="0" borderId="4" xfId="0" applyFont="1" applyBorder="1" applyAlignment="1">
      <alignment vertical="center" wrapText="1"/>
    </xf>
    <xf numFmtId="0" fontId="66" fillId="0" borderId="0" xfId="0" applyFont="1" applyAlignment="1">
      <alignment vertical="center"/>
    </xf>
    <xf numFmtId="0" fontId="67" fillId="0" borderId="0" xfId="0" applyFont="1" applyAlignment="1">
      <alignment horizontal="left" vertical="center" indent="1"/>
    </xf>
    <xf numFmtId="0" fontId="67" fillId="0" borderId="0" xfId="0" applyFont="1"/>
    <xf numFmtId="0" fontId="67" fillId="0" borderId="0" xfId="0" applyFont="1" applyAlignment="1">
      <alignment horizontal="left" vertical="center" indent="7"/>
    </xf>
    <xf numFmtId="0" fontId="67" fillId="0" borderId="0" xfId="0" applyFont="1" applyAlignment="1">
      <alignment horizontal="left" vertical="center" indent="5"/>
    </xf>
    <xf numFmtId="0" fontId="67" fillId="0" borderId="0" xfId="0" applyFont="1" applyAlignment="1">
      <alignment horizontal="left" vertical="center" indent="10"/>
    </xf>
    <xf numFmtId="0" fontId="67" fillId="0" borderId="0" xfId="0" applyFont="1" applyAlignment="1">
      <alignment vertical="center"/>
    </xf>
    <xf numFmtId="0" fontId="68" fillId="0" borderId="9" xfId="1" applyFont="1" applyBorder="1" applyAlignment="1">
      <alignment vertical="center" wrapText="1"/>
    </xf>
    <xf numFmtId="0" fontId="55" fillId="34" borderId="37" xfId="0" applyFont="1" applyFill="1" applyBorder="1" applyAlignment="1">
      <alignment vertical="center" wrapText="1"/>
    </xf>
    <xf numFmtId="0" fontId="14" fillId="0" borderId="60" xfId="0" applyFont="1" applyBorder="1"/>
    <xf numFmtId="168" fontId="17" fillId="0" borderId="61" xfId="3" applyNumberFormat="1" applyFont="1" applyBorder="1"/>
    <xf numFmtId="168" fontId="14" fillId="0" borderId="61" xfId="0" applyNumberFormat="1" applyFont="1" applyBorder="1"/>
    <xf numFmtId="0" fontId="14" fillId="0" borderId="61" xfId="0" applyFont="1" applyBorder="1"/>
    <xf numFmtId="168" fontId="14" fillId="0" borderId="61" xfId="0" applyNumberFormat="1" applyFont="1" applyFill="1" applyBorder="1"/>
    <xf numFmtId="168" fontId="14" fillId="0" borderId="61" xfId="0" applyNumberFormat="1" applyFont="1" applyBorder="1" applyAlignment="1">
      <alignment horizontal="right" vertical="center"/>
    </xf>
    <xf numFmtId="168" fontId="14" fillId="0" borderId="61" xfId="0" applyNumberFormat="1" applyFont="1" applyBorder="1" applyAlignment="1">
      <alignment vertical="center"/>
    </xf>
    <xf numFmtId="0" fontId="14" fillId="0" borderId="61" xfId="0" applyFont="1" applyBorder="1" applyAlignment="1">
      <alignment vertical="center"/>
    </xf>
    <xf numFmtId="168" fontId="14" fillId="0" borderId="62" xfId="0" applyNumberFormat="1" applyFont="1" applyBorder="1" applyAlignment="1">
      <alignment horizontal="right" vertical="center"/>
    </xf>
    <xf numFmtId="168" fontId="14" fillId="0" borderId="63" xfId="0" applyNumberFormat="1" applyFont="1" applyBorder="1"/>
    <xf numFmtId="0" fontId="14" fillId="0" borderId="24" xfId="0" applyFont="1" applyBorder="1"/>
    <xf numFmtId="0" fontId="14" fillId="0" borderId="4" xfId="0" applyFont="1" applyBorder="1"/>
    <xf numFmtId="0" fontId="15" fillId="0" borderId="64" xfId="0" applyFont="1" applyBorder="1" applyAlignment="1">
      <alignment vertical="center" wrapText="1"/>
    </xf>
    <xf numFmtId="168" fontId="57" fillId="0" borderId="0" xfId="8" applyNumberFormat="1" applyFont="1" applyBorder="1" applyAlignment="1">
      <alignment horizontal="right" vertical="center"/>
    </xf>
    <xf numFmtId="168" fontId="54" fillId="0" borderId="18" xfId="0" applyNumberFormat="1" applyFont="1" applyBorder="1"/>
    <xf numFmtId="168" fontId="54" fillId="0" borderId="0" xfId="0" applyNumberFormat="1" applyFont="1" applyBorder="1"/>
    <xf numFmtId="167" fontId="59" fillId="0" borderId="15" xfId="8" applyNumberFormat="1" applyFont="1" applyBorder="1" applyAlignment="1">
      <alignment horizontal="right" vertical="center"/>
    </xf>
    <xf numFmtId="168" fontId="14" fillId="0" borderId="0" xfId="0" applyNumberFormat="1" applyFont="1" applyBorder="1"/>
    <xf numFmtId="0" fontId="54" fillId="0" borderId="0" xfId="0" applyFont="1" applyAlignment="1">
      <alignment vertical="center"/>
    </xf>
    <xf numFmtId="0" fontId="3" fillId="0" borderId="1" xfId="1" applyBorder="1" applyAlignment="1">
      <alignment wrapText="1"/>
    </xf>
    <xf numFmtId="0" fontId="53" fillId="0" borderId="0" xfId="0" applyFont="1" applyAlignment="1">
      <alignment horizontal="center" wrapText="1"/>
    </xf>
    <xf numFmtId="168" fontId="65" fillId="0" borderId="65" xfId="0" applyNumberFormat="1" applyFont="1" applyBorder="1" applyAlignment="1">
      <alignment horizontal="center" vertical="center"/>
    </xf>
    <xf numFmtId="168" fontId="65" fillId="0" borderId="35" xfId="0" applyNumberFormat="1" applyFont="1" applyBorder="1" applyAlignment="1">
      <alignment horizontal="center" vertical="center"/>
    </xf>
    <xf numFmtId="168" fontId="65" fillId="0" borderId="36"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0" fontId="1" fillId="0" borderId="18" xfId="0" applyFont="1" applyBorder="1" applyAlignment="1">
      <alignment horizontal="center"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 xfId="0" applyFont="1" applyBorder="1" applyAlignment="1">
      <alignment horizontal="left" vertical="center"/>
    </xf>
    <xf numFmtId="0" fontId="43" fillId="0" borderId="0" xfId="0" applyFont="1" applyAlignment="1">
      <alignment horizontal="left" wrapText="1"/>
    </xf>
    <xf numFmtId="1" fontId="12" fillId="0" borderId="19" xfId="3" applyNumberFormat="1" applyFont="1" applyBorder="1" applyAlignment="1">
      <alignment horizontal="center"/>
    </xf>
    <xf numFmtId="1" fontId="12" fillId="0" borderId="26" xfId="3" applyNumberFormat="1" applyFont="1" applyBorder="1" applyAlignment="1">
      <alignment horizontal="center"/>
    </xf>
    <xf numFmtId="164" fontId="9" fillId="0" borderId="21" xfId="3" applyNumberFormat="1" applyFont="1" applyBorder="1" applyAlignment="1">
      <alignment horizontal="left"/>
    </xf>
    <xf numFmtId="164" fontId="9" fillId="0" borderId="22" xfId="3" applyNumberFormat="1" applyFont="1" applyBorder="1" applyAlignment="1">
      <alignment horizontal="left"/>
    </xf>
    <xf numFmtId="164" fontId="9" fillId="0" borderId="23" xfId="3" applyNumberFormat="1" applyFont="1" applyBorder="1" applyAlignment="1">
      <alignment horizontal="left"/>
    </xf>
    <xf numFmtId="164" fontId="9" fillId="0" borderId="18" xfId="3" applyNumberFormat="1" applyFont="1" applyBorder="1" applyAlignment="1">
      <alignment horizontal="left"/>
    </xf>
    <xf numFmtId="164" fontId="9" fillId="0" borderId="0" xfId="3" applyNumberFormat="1" applyFont="1" applyBorder="1" applyAlignment="1">
      <alignment horizontal="left"/>
    </xf>
    <xf numFmtId="164" fontId="9" fillId="0" borderId="24" xfId="3" applyNumberFormat="1" applyFont="1" applyBorder="1" applyAlignment="1">
      <alignment horizontal="left"/>
    </xf>
    <xf numFmtId="164" fontId="6" fillId="0" borderId="25" xfId="3" applyNumberFormat="1" applyFont="1" applyBorder="1" applyAlignment="1">
      <alignment horizontal="left"/>
    </xf>
    <xf numFmtId="164" fontId="6" fillId="0" borderId="19" xfId="3" applyNumberFormat="1" applyFont="1" applyBorder="1" applyAlignment="1">
      <alignment horizontal="left"/>
    </xf>
    <xf numFmtId="164" fontId="6" fillId="0" borderId="26" xfId="3" applyNumberFormat="1" applyFont="1" applyBorder="1" applyAlignment="1">
      <alignment horizontal="left"/>
    </xf>
    <xf numFmtId="164" fontId="6" fillId="0" borderId="0" xfId="3" applyNumberFormat="1" applyFont="1"/>
    <xf numFmtId="164" fontId="6" fillId="0" borderId="0" xfId="3" applyNumberFormat="1" applyFont="1" applyAlignment="1">
      <alignment wrapText="1"/>
    </xf>
    <xf numFmtId="164" fontId="6" fillId="0" borderId="0" xfId="3" applyNumberFormat="1" applyFont="1" applyAlignment="1">
      <alignment horizontal="left" wrapText="1"/>
    </xf>
    <xf numFmtId="1" fontId="6" fillId="0" borderId="0" xfId="3" applyNumberFormat="1" applyFont="1" applyAlignment="1">
      <alignment wrapText="1"/>
    </xf>
    <xf numFmtId="0" fontId="12" fillId="0" borderId="20" xfId="3" applyFont="1" applyBorder="1" applyAlignment="1">
      <alignment horizontal="center"/>
    </xf>
    <xf numFmtId="0" fontId="12" fillId="0" borderId="30" xfId="3" applyFont="1" applyBorder="1" applyAlignment="1">
      <alignment horizontal="center"/>
    </xf>
    <xf numFmtId="0" fontId="6" fillId="0" borderId="0" xfId="0" applyFont="1" applyAlignment="1">
      <alignment horizontal="left" vertical="top" wrapText="1"/>
    </xf>
    <xf numFmtId="1" fontId="11" fillId="0" borderId="21" xfId="3" applyNumberFormat="1" applyFont="1" applyBorder="1" applyAlignment="1">
      <alignment horizontal="left" wrapText="1"/>
    </xf>
    <xf numFmtId="1" fontId="11" fillId="0" borderId="22" xfId="3" applyNumberFormat="1" applyFont="1" applyBorder="1" applyAlignment="1">
      <alignment horizontal="left"/>
    </xf>
    <xf numFmtId="1" fontId="11" fillId="0" borderId="18" xfId="3" applyNumberFormat="1" applyFont="1" applyBorder="1" applyAlignment="1">
      <alignment horizontal="left" wrapText="1"/>
    </xf>
    <xf numFmtId="1" fontId="11" fillId="0" borderId="0" xfId="3" applyNumberFormat="1" applyFont="1" applyBorder="1" applyAlignment="1">
      <alignment horizontal="left"/>
    </xf>
    <xf numFmtId="0" fontId="12" fillId="0" borderId="25" xfId="3" applyFont="1" applyBorder="1" applyAlignment="1">
      <alignment horizontal="left"/>
    </xf>
    <xf numFmtId="0" fontId="12" fillId="0" borderId="19" xfId="3" applyFont="1" applyBorder="1" applyAlignment="1">
      <alignment horizontal="left"/>
    </xf>
    <xf numFmtId="0" fontId="12" fillId="0" borderId="0" xfId="3" applyFont="1" applyBorder="1" applyAlignment="1">
      <alignment horizontal="center"/>
    </xf>
    <xf numFmtId="0" fontId="12" fillId="0" borderId="24" xfId="3" applyFont="1" applyBorder="1" applyAlignment="1">
      <alignment horizontal="center"/>
    </xf>
    <xf numFmtId="0" fontId="12" fillId="0" borderId="0" xfId="3" applyFont="1" applyAlignment="1">
      <alignment horizontal="left" vertical="top" wrapText="1"/>
    </xf>
    <xf numFmtId="1" fontId="12" fillId="0" borderId="0" xfId="3" applyNumberFormat="1" applyFont="1" applyAlignment="1">
      <alignment horizontal="left"/>
    </xf>
    <xf numFmtId="0" fontId="12" fillId="0" borderId="0" xfId="3" applyFont="1" applyAlignment="1">
      <alignment horizontal="left"/>
    </xf>
    <xf numFmtId="0" fontId="6" fillId="0" borderId="0" xfId="0" applyFont="1" applyAlignment="1">
      <alignment horizontal="left" wrapText="1"/>
    </xf>
    <xf numFmtId="1" fontId="12" fillId="0" borderId="0" xfId="3" applyNumberFormat="1" applyFont="1" applyAlignment="1"/>
    <xf numFmtId="0" fontId="12" fillId="0" borderId="0" xfId="3" applyFont="1" applyAlignment="1"/>
    <xf numFmtId="1" fontId="11" fillId="0" borderId="22" xfId="3" applyNumberFormat="1" applyFont="1" applyBorder="1" applyAlignment="1">
      <alignment horizontal="left" wrapText="1"/>
    </xf>
    <xf numFmtId="1" fontId="11" fillId="0" borderId="23" xfId="3" applyNumberFormat="1" applyFont="1" applyBorder="1" applyAlignment="1">
      <alignment horizontal="left" wrapText="1"/>
    </xf>
    <xf numFmtId="1" fontId="11" fillId="0" borderId="18" xfId="3" applyNumberFormat="1" applyFont="1" applyBorder="1" applyAlignment="1">
      <alignment horizontal="left"/>
    </xf>
    <xf numFmtId="1" fontId="11" fillId="0" borderId="24" xfId="3" applyNumberFormat="1" applyFont="1" applyBorder="1" applyAlignment="1">
      <alignment horizontal="left"/>
    </xf>
    <xf numFmtId="0" fontId="12" fillId="0" borderId="26" xfId="3" applyFont="1" applyBorder="1" applyAlignment="1">
      <alignment horizontal="left"/>
    </xf>
    <xf numFmtId="1" fontId="11" fillId="0" borderId="21" xfId="3" applyNumberFormat="1" applyFont="1" applyBorder="1" applyAlignment="1">
      <alignment horizontal="left"/>
    </xf>
    <xf numFmtId="1" fontId="11" fillId="0" borderId="23" xfId="3" applyNumberFormat="1" applyFont="1" applyBorder="1" applyAlignment="1">
      <alignment horizontal="left"/>
    </xf>
    <xf numFmtId="1" fontId="12" fillId="0" borderId="25" xfId="3" applyNumberFormat="1" applyFont="1" applyBorder="1" applyAlignment="1">
      <alignment horizontal="left"/>
    </xf>
    <xf numFmtId="1" fontId="12" fillId="0" borderId="19" xfId="3" applyNumberFormat="1" applyFont="1" applyBorder="1" applyAlignment="1">
      <alignment horizontal="left"/>
    </xf>
    <xf numFmtId="1" fontId="12" fillId="0" borderId="26" xfId="3" applyNumberFormat="1" applyFont="1" applyBorder="1" applyAlignment="1">
      <alignment horizontal="left"/>
    </xf>
    <xf numFmtId="164" fontId="6" fillId="0" borderId="0" xfId="3" applyNumberFormat="1" applyFont="1" applyBorder="1" applyAlignment="1">
      <alignment wrapText="1"/>
    </xf>
    <xf numFmtId="1" fontId="6" fillId="0" borderId="0" xfId="3" applyNumberFormat="1" applyFont="1" applyBorder="1" applyAlignment="1">
      <alignment wrapText="1"/>
    </xf>
    <xf numFmtId="164" fontId="6" fillId="0" borderId="28" xfId="3" applyNumberFormat="1" applyFont="1" applyFill="1" applyBorder="1" applyAlignment="1"/>
  </cellXfs>
  <cellStyles count="336">
    <cellStyle name="20% - Accent1 2" xfId="201" xr:uid="{2030BE6B-1BA3-4791-A8B5-97BF57B89486}"/>
    <cellStyle name="20% - Accent2 2" xfId="202" xr:uid="{AD20282C-48C2-47D7-A771-767B8000D392}"/>
    <cellStyle name="20% - Accent3 2" xfId="203" xr:uid="{330F3F39-9434-4668-8C30-136E7CFDEC56}"/>
    <cellStyle name="20% - Accent4 2" xfId="204" xr:uid="{79C6026C-B83C-46E8-8BF1-E33F451400CB}"/>
    <cellStyle name="20% - Accent5 2" xfId="205" xr:uid="{EC5D0A08-5663-444E-8B3A-340F5FB31D05}"/>
    <cellStyle name="20% - Accent6 2" xfId="206" xr:uid="{E5B6D240-66BF-463E-AACB-EE5B32CDF4BA}"/>
    <cellStyle name="40% - Accent1 2" xfId="207" xr:uid="{697B3DC6-97E9-48BF-B6B0-6B43C32A147C}"/>
    <cellStyle name="40% - Accent2 2" xfId="208" xr:uid="{AA6770AA-3628-4342-A850-02AED84D1152}"/>
    <cellStyle name="40% - Accent3 2" xfId="209" xr:uid="{86283AAF-5CA9-40C6-873A-1F0D8B1E4E2D}"/>
    <cellStyle name="40% - Accent4 2" xfId="210" xr:uid="{40E1AED7-2F82-4124-AF04-DFD827EF3914}"/>
    <cellStyle name="40% - Accent5 2" xfId="211" xr:uid="{FB8D86D5-7616-45DC-BF28-13D91BFE6F18}"/>
    <cellStyle name="40% - Accent6 2" xfId="212" xr:uid="{01EF07E1-AAA4-44E5-BEA2-9B994867A454}"/>
    <cellStyle name="60% - Accent1 2" xfId="213" xr:uid="{029A856D-583D-42F9-9897-AACC7AB22605}"/>
    <cellStyle name="60% - Accent2 2" xfId="214" xr:uid="{7A57671F-AAB6-418A-B301-8C5446DF975C}"/>
    <cellStyle name="60% - Accent3 2" xfId="215" xr:uid="{120049DE-38E6-4E7B-A25C-05204210BFB3}"/>
    <cellStyle name="60% - Accent4 2" xfId="216" xr:uid="{D3642FF1-3F53-4D70-85DB-AC72DE8D9C59}"/>
    <cellStyle name="60% - Accent5 2" xfId="217" xr:uid="{E0F9B54D-6F55-4AE2-B2BB-A1B69D24776E}"/>
    <cellStyle name="60% - Accent6 2" xfId="218" xr:uid="{A103670B-48A7-437C-AE13-A9FF3B5A3F6D}"/>
    <cellStyle name="Accent1 2" xfId="219" xr:uid="{493C5E5E-351D-427E-902E-8CAD20D3BB2C}"/>
    <cellStyle name="Accent2 2" xfId="220" xr:uid="{063BA9DC-74B2-454C-B049-FFE6209BEC6C}"/>
    <cellStyle name="Accent3 2" xfId="221" xr:uid="{37F61BCF-786B-4056-9D91-DBEDBAE0D5EB}"/>
    <cellStyle name="Accent4 2" xfId="222" xr:uid="{0BC44189-1AE6-4680-86D2-B5E52943A576}"/>
    <cellStyle name="Accent5 2" xfId="223" xr:uid="{1D826797-B18A-46D5-89E4-6179BB42E698}"/>
    <cellStyle name="Accent6 2" xfId="224" xr:uid="{0D9982C0-0888-4DCB-B9CA-5F5B74D42F11}"/>
    <cellStyle name="Bad 2" xfId="225" xr:uid="{207B2A7C-2CE1-4EDC-80A6-ED1CB5A790C0}"/>
    <cellStyle name="Calculation 2" xfId="226" xr:uid="{5D106AF7-B83E-4A5D-91D4-210BD97F579D}"/>
    <cellStyle name="Check Cell 2" xfId="227" xr:uid="{8B49E032-D303-4B83-A23B-990268E05F38}"/>
    <cellStyle name="Comma 2" xfId="13" xr:uid="{82607880-FCB1-4FA2-9059-014B20F4332C}"/>
    <cellStyle name="Comma 2 2" xfId="22" xr:uid="{F6B4B31A-28D1-4A7F-8B8C-AE042312F351}"/>
    <cellStyle name="Comma 2 3" xfId="228" xr:uid="{8A6B294A-D9EA-456A-852E-8BEF1BBACD9B}"/>
    <cellStyle name="Comma 2 4" xfId="229" xr:uid="{BDE1BBFF-B9A8-4302-8104-0C1D1EC8ED08}"/>
    <cellStyle name="Comma 2 5" xfId="230" xr:uid="{705EDDF8-73F2-49B6-B124-40A26F3F03BC}"/>
    <cellStyle name="Comma 2 6" xfId="231" xr:uid="{5A6DE63F-F107-408A-B17C-6898578CF27B}"/>
    <cellStyle name="Comma 3" xfId="9" xr:uid="{02D90CB5-B1D2-4604-B323-9376B4BEAAE6}"/>
    <cellStyle name="Comma 4" xfId="232" xr:uid="{F00613C3-37D1-44F2-B696-EA71499E5EBC}"/>
    <cellStyle name="Comma 9" xfId="233" xr:uid="{A1B9A137-DA68-4A0A-9ADF-2196C5084379}"/>
    <cellStyle name="Comma0" xfId="234" xr:uid="{5016DC16-A893-4EFB-B670-4561A3F79C3A}"/>
    <cellStyle name="Currency 2" xfId="6" xr:uid="{BD5406C0-052A-4D47-AF82-B7F28E4CF10F}"/>
    <cellStyle name="Currency 2 2" xfId="235" xr:uid="{BBDA0E75-1515-4581-9A71-348C12FD88BE}"/>
    <cellStyle name="Currency 3" xfId="236" xr:uid="{1AAEF676-6223-4FDF-8423-97301B417E63}"/>
    <cellStyle name="Currency 4" xfId="330" xr:uid="{D717062D-03D5-4602-9495-0ED4304DB1AB}"/>
    <cellStyle name="Explanatory Text 2" xfId="237" xr:uid="{C8DCAC91-E986-4F5E-8BC8-790823BA6061}"/>
    <cellStyle name="Good 2" xfId="238" xr:uid="{414C8333-E0A8-4FA1-96CD-10A11C7C3F2B}"/>
    <cellStyle name="Heading 1 2" xfId="239" xr:uid="{1ECF4CBC-25D9-437F-8A59-426AD0B1503B}"/>
    <cellStyle name="Heading 2 2" xfId="240" xr:uid="{64AA293E-A9C3-401B-A72A-87F5C3FB0754}"/>
    <cellStyle name="Heading 3 2" xfId="241" xr:uid="{87C907BA-DDBB-476D-A63F-C9525B7F9DBF}"/>
    <cellStyle name="Heading 4 2" xfId="242" xr:uid="{7F0B4C33-D357-4BFD-B05D-BAE86AFC536F}"/>
    <cellStyle name="Hyperlink" xfId="1" builtinId="8"/>
    <cellStyle name="Hyperlink 2" xfId="2" xr:uid="{0206F0CE-AB87-43A7-87A3-915FDFB7F667}"/>
    <cellStyle name="Hyperlink 2 2" xfId="332" xr:uid="{D24D69F3-741C-416C-8262-719D5BCAFCA9}"/>
    <cellStyle name="Hyperlink 2 3" xfId="23" xr:uid="{B3DC2A47-EBD7-4E7E-B86F-0AF82E49A499}"/>
    <cellStyle name="Hyperlink 3" xfId="25" xr:uid="{221676EF-FA31-4CC6-862B-3A4B78500471}"/>
    <cellStyle name="Hyperlink 4" xfId="30" xr:uid="{A68018F1-0EB9-4639-BFD7-949E2A9B2C73}"/>
    <cellStyle name="Hyperlink 5" xfId="323" xr:uid="{7AD3D3BC-CA3E-47D1-9994-75C0348970D4}"/>
    <cellStyle name="Hyperlink 6" xfId="331" xr:uid="{6755785B-B08E-40E6-AFD0-E82EA92CEF7E}"/>
    <cellStyle name="Hyperlink 7" xfId="16" xr:uid="{1F514CA3-1604-4F3F-8E4E-166EA9378E4B}"/>
    <cellStyle name="Input 2" xfId="243" xr:uid="{B3F643DE-5C96-4078-BAF7-422262F1227F}"/>
    <cellStyle name="Linked Cell 2" xfId="244" xr:uid="{17A5E15A-69C7-42C2-AC78-501B040D7EF1}"/>
    <cellStyle name="Neutral 2" xfId="245" xr:uid="{B7F1C421-E4AE-47C0-94BE-4FDB74DE6AD3}"/>
    <cellStyle name="Normal" xfId="0" builtinId="0"/>
    <cellStyle name="Normal 10" xfId="28" xr:uid="{6322A763-FB2E-4B6D-A01D-81107311D6FD}"/>
    <cellStyle name="Normal 10 2" xfId="324" xr:uid="{79060A51-912D-4119-ADEE-61B180F37FA2}"/>
    <cellStyle name="Normal 11" xfId="246" xr:uid="{212B54A5-6B60-4907-9BB3-7D003B2E6545}"/>
    <cellStyle name="Normal 11 2" xfId="247" xr:uid="{6C577637-1779-4072-B6E3-898BA8CF069F}"/>
    <cellStyle name="Normal 11 3" xfId="248" xr:uid="{98719689-5CDC-44FE-B909-559CA84F1CE4}"/>
    <cellStyle name="Normal 11 4" xfId="249" xr:uid="{82EFFF53-FBAA-4C15-8071-6C6E9B766935}"/>
    <cellStyle name="Normal 12" xfId="250" xr:uid="{14434986-DE27-489E-BCA5-0FFBDA7BAFF7}"/>
    <cellStyle name="Normal 12 2" xfId="251" xr:uid="{2C3B190E-09B6-4055-8FD1-F7E015CE5809}"/>
    <cellStyle name="Normal 12 3" xfId="252" xr:uid="{0BFB7FDD-F166-4416-A730-C735E870F44C}"/>
    <cellStyle name="Normal 12 4" xfId="253" xr:uid="{42351351-E28A-4DAA-9AEB-AF8849A63A1E}"/>
    <cellStyle name="Normal 13" xfId="254" xr:uid="{1E1F0339-F2B6-47B9-A4FD-458ABCEDE218}"/>
    <cellStyle name="Normal 13 2" xfId="255" xr:uid="{91A2DDEB-6A17-452C-ACBD-C8EA45698E7D}"/>
    <cellStyle name="Normal 13 3" xfId="256" xr:uid="{3AB4E159-6227-498D-B907-AECA39917BEB}"/>
    <cellStyle name="Normal 13 4" xfId="257" xr:uid="{D5C6495E-CEFD-409B-AC4C-01D36E82BDCD}"/>
    <cellStyle name="Normal 14" xfId="258" xr:uid="{B71CD47C-F522-45CD-809A-1B32087250CB}"/>
    <cellStyle name="Normal 14 2" xfId="259" xr:uid="{DEB502F3-96A4-4145-9A87-77832DBDEB20}"/>
    <cellStyle name="Normal 15" xfId="260" xr:uid="{03F15150-0C56-404B-B0D1-8DC9C1E1E7BE}"/>
    <cellStyle name="Normal 16" xfId="261" xr:uid="{B25F894A-DA84-4F35-890B-8B879B3BD835}"/>
    <cellStyle name="Normal 17" xfId="262" xr:uid="{AEC00C59-ADD7-4873-80B7-D0A4BA4FB6E8}"/>
    <cellStyle name="Normal 18" xfId="322" xr:uid="{40F9AB0D-9728-46CC-A3F9-3B6A93128298}"/>
    <cellStyle name="Normal 18 2" xfId="333" xr:uid="{B84D0149-88AC-47F3-8347-F4B50C9FB2B0}"/>
    <cellStyle name="Normal 19" xfId="326" xr:uid="{8F3684C5-0395-4FB5-A1B7-AA7DC4EAB8D6}"/>
    <cellStyle name="Normal 19 2" xfId="334" xr:uid="{69235A93-5260-446D-8253-23BEC62C8F3E}"/>
    <cellStyle name="Normal 2" xfId="8" xr:uid="{2773F87B-9C3D-4183-B681-FC2EE0ACE1CD}"/>
    <cellStyle name="Normal 2 10" xfId="31" xr:uid="{FA241A74-E521-4A49-AB36-5270F40B3822}"/>
    <cellStyle name="Normal 2 11" xfId="32" xr:uid="{56C7DE82-93FC-4740-9B33-5647F3ABA14C}"/>
    <cellStyle name="Normal 2 12" xfId="263" xr:uid="{18DE36A7-7E43-438E-8ACC-9C9A5FD60C69}"/>
    <cellStyle name="Normal 2 13" xfId="264" xr:uid="{B5BDF9EB-0F16-4D60-98C4-FFB10A996348}"/>
    <cellStyle name="Normal 2 14" xfId="265" xr:uid="{8A910645-8EF7-4857-8BC4-A7EACBE5DC21}"/>
    <cellStyle name="Normal 2 15" xfId="266" xr:uid="{38C50651-2A65-4763-81D5-5522A51D3E21}"/>
    <cellStyle name="Normal 2 16" xfId="267" xr:uid="{A34C4D23-5A72-4A18-AEDC-058EC90E01E4}"/>
    <cellStyle name="Normal 2 17" xfId="268" xr:uid="{8670D727-B98C-4BA2-AD7B-93A3DF2AFDE7}"/>
    <cellStyle name="Normal 2 18" xfId="269" xr:uid="{6C65F4D2-0A48-402A-9242-63E03A9DEED2}"/>
    <cellStyle name="Normal 2 19" xfId="270" xr:uid="{7BC70D28-6C1A-4452-98D9-BCFB7E25C762}"/>
    <cellStyle name="Normal 2 2" xfId="18" xr:uid="{BD4E79CE-4618-4667-AA11-6CB0AEA640C4}"/>
    <cellStyle name="Normal 2 2 2" xfId="33" xr:uid="{957E9FC0-6288-410B-AE70-0CC4CBC000EB}"/>
    <cellStyle name="Normal 2 2 2 2" xfId="34" xr:uid="{3FBF2449-CE5F-4455-8CF8-ECAC7F997228}"/>
    <cellStyle name="Normal 2 2 2 3" xfId="35" xr:uid="{4F4F4D98-A6A7-4315-83F2-2394FFDA31B2}"/>
    <cellStyle name="Normal 2 2 3" xfId="36" xr:uid="{282E8F99-C641-4F37-8C64-96702121A37A}"/>
    <cellStyle name="Normal 2 2 3 2" xfId="37" xr:uid="{8BC356EB-F822-4169-BD16-84CC2A745078}"/>
    <cellStyle name="Normal 2 2 4" xfId="38" xr:uid="{2D550249-50E0-460B-B6D3-84A353183B5D}"/>
    <cellStyle name="Normal 2 2 4 2" xfId="39" xr:uid="{4B215234-3B94-4A83-94AD-77029DCBB192}"/>
    <cellStyle name="Normal 2 2 5" xfId="40" xr:uid="{18627658-0D03-4ED9-86A0-F92E415028AE}"/>
    <cellStyle name="Normal 2 2 5 2" xfId="41" xr:uid="{D083F9A7-9240-482B-9EAA-172491326E40}"/>
    <cellStyle name="Normal 2 2 6" xfId="42" xr:uid="{97441BD4-AD39-4F1F-8F8D-0E70BA94441E}"/>
    <cellStyle name="Normal 2 2 7" xfId="43" xr:uid="{76582BBB-E67C-4946-A6D2-86FD521127A4}"/>
    <cellStyle name="Normal 2 2 8" xfId="44" xr:uid="{DD47B236-47FB-465F-B875-978CC29AF48C}"/>
    <cellStyle name="Normal 2 20" xfId="271" xr:uid="{22B89CBA-F0E9-41E1-9037-FE21CE1C4966}"/>
    <cellStyle name="Normal 2 21" xfId="272" xr:uid="{A351224E-A643-4218-AD11-72AC63A6D36A}"/>
    <cellStyle name="Normal 2 22" xfId="273" xr:uid="{E037A252-6A64-430B-B324-8EFB6A234D1C}"/>
    <cellStyle name="Normal 2 23" xfId="274" xr:uid="{20DAD6FB-A827-4CAC-918F-E3A46E4452FE}"/>
    <cellStyle name="Normal 2 24" xfId="327" xr:uid="{FA8BA581-BEC7-4530-868F-BBC24485A752}"/>
    <cellStyle name="Normal 2 25" xfId="14" xr:uid="{3CC8C815-C1E8-4CFA-9A3F-92ACAE97BDC3}"/>
    <cellStyle name="Normal 2 3" xfId="20" xr:uid="{B5E8A594-ADCB-4673-BC33-3B2C3590E4BB}"/>
    <cellStyle name="Normal 2 3 2" xfId="45" xr:uid="{90239F90-F5EE-4F50-9862-F8A215451BF8}"/>
    <cellStyle name="Normal 2 3 2 2" xfId="46" xr:uid="{35A9B8CB-0BCA-4C82-9D02-791B9F17C987}"/>
    <cellStyle name="Normal 2 3 2 3" xfId="47" xr:uid="{B2BE717D-90BE-4619-85BA-8CEDAC2F0819}"/>
    <cellStyle name="Normal 2 3 3" xfId="48" xr:uid="{30E00D1D-4D12-417C-9E74-3FBC18D85E06}"/>
    <cellStyle name="Normal 2 3 4" xfId="49" xr:uid="{0ADF6692-F12A-4FB3-9916-534C3E0F36B3}"/>
    <cellStyle name="Normal 2 3 5" xfId="50" xr:uid="{125C48A3-AF10-4635-8735-30BDF344A156}"/>
    <cellStyle name="Normal 2 4" xfId="51" xr:uid="{50E71F40-A6D2-41E4-ACA8-DC35146DB1F9}"/>
    <cellStyle name="Normal 2 4 2" xfId="52" xr:uid="{474B6D8E-67F7-4187-B84A-5125F634B99A}"/>
    <cellStyle name="Normal 2 5" xfId="53" xr:uid="{A756255D-7BA4-4D77-AF90-2632A177143D}"/>
    <cellStyle name="Normal 2 5 2" xfId="54" xr:uid="{17067994-B14D-463F-888F-D49DB887EE43}"/>
    <cellStyle name="Normal 2 6" xfId="55" xr:uid="{FBD55ED2-ACB7-44C0-9BBE-CF9864DCF01B}"/>
    <cellStyle name="Normal 2 6 2" xfId="56" xr:uid="{4166349F-1640-47F1-A6FC-F0263D12BF3E}"/>
    <cellStyle name="Normal 2 7" xfId="57" xr:uid="{4A1D5C16-1FE1-45C8-88A8-9C55FD5CFFBF}"/>
    <cellStyle name="Normal 2 7 2" xfId="58" xr:uid="{028C83EE-704F-4732-A0EF-DA0D365B7684}"/>
    <cellStyle name="Normal 2 8" xfId="59" xr:uid="{2EB260E2-CE21-4187-AFA8-C71E2CC3C072}"/>
    <cellStyle name="Normal 2 8 2" xfId="60" xr:uid="{8D97C792-1AC9-4CC2-B09C-DADFB3A06492}"/>
    <cellStyle name="Normal 2 9" xfId="61" xr:uid="{BE8A75D8-1A3D-4432-B9AA-8B74E14515F5}"/>
    <cellStyle name="Normal 20" xfId="328" xr:uid="{685DE0EF-5821-4F5C-8560-436E9CD4D484}"/>
    <cellStyle name="Normal 3" xfId="3" xr:uid="{84B221C3-2BF0-49B7-9D25-3AC9BB3DB23B}"/>
    <cellStyle name="Normal 3 10" xfId="275" xr:uid="{8E22B68D-8A21-4997-9C9B-6103AFC15EE3}"/>
    <cellStyle name="Normal 3 11" xfId="276" xr:uid="{3659D4A5-1B88-409D-9D09-8CE71B868C4C}"/>
    <cellStyle name="Normal 3 12" xfId="277" xr:uid="{50D8C4BE-A0CD-4446-B982-46503F48D8FB}"/>
    <cellStyle name="Normal 3 13" xfId="278" xr:uid="{0296B2CD-4357-4AB4-91A4-F54DDC318DD8}"/>
    <cellStyle name="Normal 3 14" xfId="335" xr:uid="{38BF69AF-39D1-437B-A8FF-5F06A077CFEA}"/>
    <cellStyle name="Normal 3 2" xfId="10" xr:uid="{A7FEE7E7-FE3E-4AC2-8BA2-E109E6C86A3A}"/>
    <cellStyle name="Normal 3 2 2" xfId="29" xr:uid="{57DBECE4-4750-44B5-B251-BDE21BA2D536}"/>
    <cellStyle name="Normal 3 2 2 2" xfId="62" xr:uid="{8CB788A3-FCAB-45DE-BEC6-D0CFD7740DCD}"/>
    <cellStyle name="Normal 3 2 3" xfId="63" xr:uid="{32D6041E-3A6B-4B1D-BA2D-C023BFDD9B9B}"/>
    <cellStyle name="Normal 3 2 4" xfId="64" xr:uid="{5709F5FA-FFD2-4E27-B932-400D67463ABC}"/>
    <cellStyle name="Normal 3 2 5" xfId="21" xr:uid="{C4AE00E4-C321-4D4D-B5DA-2B632E1926C1}"/>
    <cellStyle name="Normal 3 3" xfId="65" xr:uid="{2C5E8648-ACE3-4262-87D7-9CD300AFBEE7}"/>
    <cellStyle name="Normal 3 3 2" xfId="66" xr:uid="{03CC715F-1472-487F-80FB-6AD36D920A68}"/>
    <cellStyle name="Normal 3 3 3" xfId="67" xr:uid="{C10359BE-6C54-4BF3-A34A-364A4A708C2E}"/>
    <cellStyle name="Normal 3 4" xfId="68" xr:uid="{47F484C4-1F66-4181-8443-F1B65B28DE3E}"/>
    <cellStyle name="Normal 3 4 2" xfId="69" xr:uid="{1E8A28CA-1FCE-434C-81D7-164FCF131C85}"/>
    <cellStyle name="Normal 3 5" xfId="70" xr:uid="{0BA88883-EA53-4247-BA74-6394EDA4FCA6}"/>
    <cellStyle name="Normal 3 5 2" xfId="71" xr:uid="{01AAABF0-0D4E-4220-95C9-F9D576C9696D}"/>
    <cellStyle name="Normal 3 6" xfId="72" xr:uid="{EB9177D4-E153-41F1-8CD4-2A23318E823B}"/>
    <cellStyle name="Normal 3 6 2" xfId="73" xr:uid="{B8126D36-80DB-4C9E-9B82-2F0E4EF0738D}"/>
    <cellStyle name="Normal 3 7" xfId="74" xr:uid="{D8F6C080-47D9-499A-BCB7-2F0B6FAD751F}"/>
    <cellStyle name="Normal 3 8" xfId="75" xr:uid="{5F0C3CC8-025C-418A-A173-0F3B440BD90A}"/>
    <cellStyle name="Normal 3 9" xfId="76" xr:uid="{AE5CBA5B-A215-4AF0-ABB5-A0C0CDB441FB}"/>
    <cellStyle name="Normal 4" xfId="11" xr:uid="{7C37A972-40AA-4FB5-932F-BF6291868157}"/>
    <cellStyle name="Normal 4 10" xfId="77" xr:uid="{92BC9786-DDB9-4C9A-9032-97DD90264EAA}"/>
    <cellStyle name="Normal 4 11" xfId="279" xr:uid="{3B727CAB-E306-42C2-828E-7456A7EFA53D}"/>
    <cellStyle name="Normal 4 12" xfId="280" xr:uid="{C0B9FC1B-9702-4723-9566-9ADE4EA919EE}"/>
    <cellStyle name="Normal 4 13" xfId="281" xr:uid="{E4B667B1-BFF7-4D96-8A38-9568208A6634}"/>
    <cellStyle name="Normal 4 14" xfId="15" xr:uid="{8C085865-E95A-4AF6-916C-5E076961E0D4}"/>
    <cellStyle name="Normal 4 2" xfId="78" xr:uid="{1B1E6A94-A50A-4990-B8A5-2CE2F4D97491}"/>
    <cellStyle name="Normal 4 2 2" xfId="79" xr:uid="{74E9DA85-675E-4A84-A721-DD73B22B1021}"/>
    <cellStyle name="Normal 4 2 2 2" xfId="80" xr:uid="{B4CA33D0-0EF1-447B-AB35-6C719C0EDB73}"/>
    <cellStyle name="Normal 4 2 3" xfId="81" xr:uid="{47177DE5-86AF-46EF-A1A5-5A317A9A3E9D}"/>
    <cellStyle name="Normal 4 2 4" xfId="82" xr:uid="{CC75EF21-7EAA-4E30-A12D-F098675F07B6}"/>
    <cellStyle name="Normal 4 2 5" xfId="83" xr:uid="{24727D3A-7A75-460D-8BA7-BA5957E66DD7}"/>
    <cellStyle name="Normal 4 3" xfId="84" xr:uid="{13248A0F-A555-4962-A9F7-5E83194FE46C}"/>
    <cellStyle name="Normal 4 3 2" xfId="85" xr:uid="{9781904F-7C4B-45F0-8BB7-3ACBC7CFA9B5}"/>
    <cellStyle name="Normal 4 3 3" xfId="86" xr:uid="{354147E5-A5F1-4A2F-A01D-DDDED4C002B9}"/>
    <cellStyle name="Normal 4 3 4" xfId="87" xr:uid="{692130B7-62BC-4306-9B4B-A9AC74126A3C}"/>
    <cellStyle name="Normal 4 4" xfId="88" xr:uid="{FFA68D2B-7EA0-4AEE-B3BB-B73FD021BAD7}"/>
    <cellStyle name="Normal 4 4 2" xfId="89" xr:uid="{C0C3C642-C4D5-4D5B-94EF-264E4A741839}"/>
    <cellStyle name="Normal 4 5" xfId="90" xr:uid="{13D88A29-5841-47C0-A914-962E40CAFFE3}"/>
    <cellStyle name="Normal 4 5 2" xfId="91" xr:uid="{DBE87684-6ED4-499A-823D-F0E8C6EC072A}"/>
    <cellStyle name="Normal 4 6" xfId="92" xr:uid="{CD7F8E16-0963-4FF7-B32F-F6FD0E19873C}"/>
    <cellStyle name="Normal 4 6 2" xfId="93" xr:uid="{24FCD9C5-0DBB-4CCD-A611-6AB0ABC8CA2C}"/>
    <cellStyle name="Normal 4 7" xfId="94" xr:uid="{15136D13-76BB-42F6-B475-1277E71AF0E9}"/>
    <cellStyle name="Normal 4 8" xfId="95" xr:uid="{A170F3CC-7CAF-4DAC-B879-8E6145106EB0}"/>
    <cellStyle name="Normal 4 9" xfId="96" xr:uid="{EF4AFA36-D0AF-42E6-BC7F-0C4D2FD892BA}"/>
    <cellStyle name="Normal 5" xfId="5" xr:uid="{02337291-C798-47E2-B210-883BB7ED43AD}"/>
    <cellStyle name="Normal 5 10" xfId="200" xr:uid="{C365BD5B-A2E3-44CA-8B01-A714922F90AB}"/>
    <cellStyle name="Normal 5 11" xfId="282" xr:uid="{618F879C-D0A8-422A-A39D-0FE8F4B1EFAC}"/>
    <cellStyle name="Normal 5 12" xfId="283" xr:uid="{EBF8FBEB-7B33-40C3-B876-AF2C0BDAFA43}"/>
    <cellStyle name="Normal 5 13" xfId="284" xr:uid="{67A2A656-542A-477E-851D-F4BEB8FAF7FB}"/>
    <cellStyle name="Normal 5 14" xfId="17" xr:uid="{D0E3E283-50AF-432A-9EBF-12E298090B5A}"/>
    <cellStyle name="Normal 5 2" xfId="97" xr:uid="{A608665C-CA58-4DEB-B0B7-895065770684}"/>
    <cellStyle name="Normal 5 2 2" xfId="98" xr:uid="{FC02CD27-54D9-4448-92BB-77D59D67D87B}"/>
    <cellStyle name="Normal 5 2 2 2" xfId="99" xr:uid="{325DABB6-F0E5-4244-80B6-14B855BBEEE9}"/>
    <cellStyle name="Normal 5 2 3" xfId="100" xr:uid="{C77095C5-E7DE-4979-828A-17CA58206C20}"/>
    <cellStyle name="Normal 5 2 4" xfId="101" xr:uid="{F37B3D1C-2345-4166-B0BE-4575A56D0A74}"/>
    <cellStyle name="Normal 5 3" xfId="102" xr:uid="{60C3C319-BA0B-4716-9240-363AF58BE1A5}"/>
    <cellStyle name="Normal 5 3 2" xfId="103" xr:uid="{A92CFE1E-D611-4F1E-AE01-52C651BCEC40}"/>
    <cellStyle name="Normal 5 3 3" xfId="104" xr:uid="{C55B361E-D6E0-47C6-B275-B17CE91255EF}"/>
    <cellStyle name="Normal 5 4" xfId="105" xr:uid="{FF6D5B5C-3174-41E0-93C8-0DA2F4CB3F13}"/>
    <cellStyle name="Normal 5 4 2" xfId="106" xr:uid="{EEEBD347-ACF4-4A72-B2F0-D0B6189DEC0E}"/>
    <cellStyle name="Normal 5 5" xfId="107" xr:uid="{7F5ECC0F-4ED7-4A7A-8D98-B78AA0267CDA}"/>
    <cellStyle name="Normal 5 5 2" xfId="108" xr:uid="{AC563178-F55F-4F56-9E4C-58B96F5CD78F}"/>
    <cellStyle name="Normal 5 6" xfId="109" xr:uid="{BE106E14-C091-4531-B109-DAF58F287634}"/>
    <cellStyle name="Normal 5 6 2" xfId="110" xr:uid="{993C2998-F2FE-419B-82EC-4E9613DB1243}"/>
    <cellStyle name="Normal 5 7" xfId="111" xr:uid="{C2CF645E-BFF8-4CC3-AD73-C4D7625B0D04}"/>
    <cellStyle name="Normal 5 8" xfId="112" xr:uid="{87E6229E-C9AD-4B47-906A-2F113023A8A4}"/>
    <cellStyle name="Normal 5 9" xfId="113" xr:uid="{DE0D9D9E-2039-4D83-B121-0B69451FA099}"/>
    <cellStyle name="Normal 6" xfId="27" xr:uid="{CB8EE58C-5307-48B5-AD10-17FA0EB14D36}"/>
    <cellStyle name="Normal 6 2" xfId="285" xr:uid="{D8429980-B5E0-4B24-8532-677A89DBA64D}"/>
    <cellStyle name="Normal 7" xfId="114" xr:uid="{30685F89-3BC0-4F02-99EF-0484286CD22A}"/>
    <cellStyle name="Normal 7 2" xfId="115" xr:uid="{4CB315D9-642F-44BC-B60D-CE4845E8390C}"/>
    <cellStyle name="Normal 7 2 2" xfId="116" xr:uid="{90532AF8-676F-4369-B868-FBD45BCD5242}"/>
    <cellStyle name="Normal 7 2 3" xfId="117" xr:uid="{C924D3DE-D4B8-4B61-962E-645FCE5B590A}"/>
    <cellStyle name="Normal 7 3" xfId="118" xr:uid="{954ACBB9-7B06-4454-944B-8F18CEC58DBB}"/>
    <cellStyle name="Normal 7 3 2" xfId="119" xr:uid="{F694016E-C7D4-4365-8F09-F8CED22E63FF}"/>
    <cellStyle name="Normal 7 4" xfId="120" xr:uid="{8AB13D98-9D35-4C4C-95A1-2DBAFC869AE5}"/>
    <cellStyle name="Normal 7 4 2" xfId="121" xr:uid="{32B0AB1E-574D-4529-866F-EEA2870E9578}"/>
    <cellStyle name="Normal 7 5" xfId="122" xr:uid="{45A18149-141C-494A-8ECD-D365E90FC5A1}"/>
    <cellStyle name="Normal 7 5 2" xfId="123" xr:uid="{768B6357-EE19-4AED-8FA6-11C456540FAE}"/>
    <cellStyle name="Normal 7 6" xfId="124" xr:uid="{3672B4E9-3F64-42AC-A105-D77C7BE7F306}"/>
    <cellStyle name="Normal 7 7" xfId="125" xr:uid="{69BAC64C-9B9E-467B-8BD5-76B6F866F78C}"/>
    <cellStyle name="Normal 7 8" xfId="126" xr:uid="{7C2ED139-D92C-42E5-B582-8D52D6B87F8A}"/>
    <cellStyle name="Normal 8" xfId="24" xr:uid="{AC7500BB-B884-469B-BA35-B798AC2659E0}"/>
    <cellStyle name="Normal 8 2" xfId="127" xr:uid="{82D6F467-D043-425B-807A-E0519D130F42}"/>
    <cellStyle name="Normal 8 2 2" xfId="128" xr:uid="{8723B8DE-9DCE-4FE6-A3B9-6E286DB55F51}"/>
    <cellStyle name="Normal 8 3" xfId="129" xr:uid="{02E884D6-7B41-4F52-AEF5-95086FBD63A2}"/>
    <cellStyle name="Normal 8 3 2" xfId="130" xr:uid="{CFC365D5-B55B-4A23-AEE5-E6C4D0408722}"/>
    <cellStyle name="Normal 8 4" xfId="131" xr:uid="{72928133-2E97-45F4-B576-ADD67D5910BC}"/>
    <cellStyle name="Normal 8 4 2" xfId="132" xr:uid="{70236199-E214-4C0E-97D7-C01BC04B11A1}"/>
    <cellStyle name="Normal 8 5" xfId="133" xr:uid="{3ECFB3A4-9AFA-4539-8C2D-ABAA507952EC}"/>
    <cellStyle name="Normal 9" xfId="134" xr:uid="{6AA244D4-D5F2-4510-AB9D-46D98D247B01}"/>
    <cellStyle name="Note 2" xfId="286" xr:uid="{35C2E85E-B8F6-4AD6-95E4-F42FAA400FDE}"/>
    <cellStyle name="Note 2 2" xfId="329" xr:uid="{CD885915-BBB4-48AE-BCA3-14BA60D90926}"/>
    <cellStyle name="Note 3" xfId="287" xr:uid="{E92C895C-7099-424E-A3B8-7DB1F223B5BD}"/>
    <cellStyle name="Note 4" xfId="288" xr:uid="{CD239D1A-EDC5-4425-8AF0-5190318C1C3D}"/>
    <cellStyle name="Note 5" xfId="289" xr:uid="{3DE63EF7-55C8-4D3F-9F5E-E5A2D900E6B7}"/>
    <cellStyle name="Output 2" xfId="290" xr:uid="{11D1CC86-CA49-40E0-B149-FDC7AE47F1A0}"/>
    <cellStyle name="Percent" xfId="4" builtinId="5"/>
    <cellStyle name="Percent 2" xfId="12" xr:uid="{6860DF9B-DF99-4D35-9040-88B8B47E3BD5}"/>
    <cellStyle name="Percent 2 10" xfId="19" xr:uid="{29E956CE-969D-4827-A45A-61B8EDAB96DF}"/>
    <cellStyle name="Percent 2 2" xfId="135" xr:uid="{ACC4C911-9063-4517-9E3B-0CFA17275D74}"/>
    <cellStyle name="Percent 2 2 10" xfId="291" xr:uid="{A366D556-A471-4AEE-AB21-7C02F0E1EE7A}"/>
    <cellStyle name="Percent 2 2 11" xfId="292" xr:uid="{A36F25D6-68D4-468E-BE1D-6B032EABA7A0}"/>
    <cellStyle name="Percent 2 2 12" xfId="293" xr:uid="{8D60C6A5-3DF2-40B4-B079-E7AB7017F66D}"/>
    <cellStyle name="Percent 2 2 2" xfId="136" xr:uid="{EB1BED26-2243-425D-A7C0-A8F21191E103}"/>
    <cellStyle name="Percent 2 2 2 2" xfId="137" xr:uid="{7A02B526-1F95-4FF3-AF00-823A6F661816}"/>
    <cellStyle name="Percent 2 2 3" xfId="138" xr:uid="{DE749C7E-CF9D-40CF-9003-741D819687F4}"/>
    <cellStyle name="Percent 2 2 4" xfId="139" xr:uid="{B943C949-56F1-4506-A864-FE412F35E2D9}"/>
    <cellStyle name="Percent 2 2 5" xfId="294" xr:uid="{168E87C7-39BF-42F0-88B9-1C0CD2FCB04E}"/>
    <cellStyle name="Percent 2 2 6" xfId="295" xr:uid="{63F96A56-F362-48B5-89DD-3451EA2DE6C6}"/>
    <cellStyle name="Percent 2 2 7" xfId="296" xr:uid="{335C574B-7DB7-4A27-803D-41B846A03440}"/>
    <cellStyle name="Percent 2 2 8" xfId="297" xr:uid="{0FDAEE6D-E3B9-4E71-BD6B-41A6C4B54522}"/>
    <cellStyle name="Percent 2 2 9" xfId="298" xr:uid="{C5768589-5AB3-4F97-8C65-D0068A238086}"/>
    <cellStyle name="Percent 2 3" xfId="140" xr:uid="{42992260-FCDF-495D-81E5-CE02DBF9F56B}"/>
    <cellStyle name="Percent 2 3 10" xfId="299" xr:uid="{1790B1EE-B1F2-47E8-ABA0-16239F4F00BC}"/>
    <cellStyle name="Percent 2 3 11" xfId="300" xr:uid="{CDE982B5-A86A-4B53-97CC-CF965BD32B97}"/>
    <cellStyle name="Percent 2 3 12" xfId="301" xr:uid="{DAB40BDC-F0D3-46C0-AB83-8187BE1078D4}"/>
    <cellStyle name="Percent 2 3 2" xfId="141" xr:uid="{79A5E297-7DAD-4F04-893E-5CD824DB0A75}"/>
    <cellStyle name="Percent 2 3 3" xfId="142" xr:uid="{F28B70C1-5973-4F52-B715-73F92CFC41C9}"/>
    <cellStyle name="Percent 2 3 4" xfId="302" xr:uid="{36DB1E35-5ADF-4A56-BED0-7F83FBC123AD}"/>
    <cellStyle name="Percent 2 3 5" xfId="303" xr:uid="{4CAB3339-CE6C-41C2-A20D-7E36DC16FE86}"/>
    <cellStyle name="Percent 2 3 6" xfId="304" xr:uid="{3373E5B7-D220-4C40-9EAD-49378A537E1A}"/>
    <cellStyle name="Percent 2 3 7" xfId="305" xr:uid="{3F1D574C-27EC-4516-92B1-B2D69D517D23}"/>
    <cellStyle name="Percent 2 3 8" xfId="306" xr:uid="{EFD58299-78FC-4D9B-96CB-B9F4466BDF5D}"/>
    <cellStyle name="Percent 2 3 9" xfId="307" xr:uid="{206056B1-B182-42E1-A3CD-5E0227E26082}"/>
    <cellStyle name="Percent 2 4" xfId="143" xr:uid="{F53EADB5-CD30-41A8-A7E8-52661027D407}"/>
    <cellStyle name="Percent 2 4 10" xfId="308" xr:uid="{49240B3D-2E9A-45CF-AB42-152D938FF0D1}"/>
    <cellStyle name="Percent 2 4 11" xfId="309" xr:uid="{FECFB9A0-5492-41B5-B9A8-76EE7F098AA3}"/>
    <cellStyle name="Percent 2 4 12" xfId="310" xr:uid="{1915B972-4E48-4BFF-808B-BE79B1854BCA}"/>
    <cellStyle name="Percent 2 4 2" xfId="144" xr:uid="{D2B69454-FBC5-4AD9-A875-E0C1836C2DB6}"/>
    <cellStyle name="Percent 2 4 3" xfId="311" xr:uid="{65BFD4C0-6C68-4B99-9484-F1EAA9BEB17E}"/>
    <cellStyle name="Percent 2 4 4" xfId="312" xr:uid="{FFE9B299-7CF7-4813-BA3C-820C9160FC90}"/>
    <cellStyle name="Percent 2 4 5" xfId="313" xr:uid="{6EEB463B-D453-49FE-9DAA-9EB0D11F6CE5}"/>
    <cellStyle name="Percent 2 4 6" xfId="314" xr:uid="{24B090CB-EB49-4792-9180-B95A5F523564}"/>
    <cellStyle name="Percent 2 4 7" xfId="315" xr:uid="{6415EE0F-0ACF-4EFD-813C-4711B875C1F0}"/>
    <cellStyle name="Percent 2 4 8" xfId="316" xr:uid="{DA6E7A41-E4DA-4702-BDD7-49EC3D68FF3A}"/>
    <cellStyle name="Percent 2 4 9" xfId="317" xr:uid="{BF86B1A6-49F6-4E59-8267-44EB8D2B9774}"/>
    <cellStyle name="Percent 2 5" xfId="145" xr:uid="{5FDD66CC-6416-4659-9C74-C7B0F754C8D2}"/>
    <cellStyle name="Percent 2 5 2" xfId="146" xr:uid="{4EEF96F4-EEAB-4B9C-B6EF-E54516245EEB}"/>
    <cellStyle name="Percent 2 6" xfId="147" xr:uid="{D7EDB3FB-456E-4EF5-9263-45A12FAC8E71}"/>
    <cellStyle name="Percent 2 6 2" xfId="148" xr:uid="{84577780-5EBE-480A-B0A1-0245897F9A96}"/>
    <cellStyle name="Percent 2 7" xfId="149" xr:uid="{E1F3EA7C-6595-4F7F-B304-304291F22C9B}"/>
    <cellStyle name="Percent 2 8" xfId="150" xr:uid="{F3ADE6CC-A00F-4C48-B494-01BD35C9DEB4}"/>
    <cellStyle name="Percent 2 9" xfId="151" xr:uid="{A9FB33A8-EF0E-425B-BD8E-E1D64210C7B2}"/>
    <cellStyle name="Percent 3" xfId="7" xr:uid="{020ECF1A-A6F2-4153-9101-60924786C7E2}"/>
    <cellStyle name="Percent 3 10" xfId="26" xr:uid="{B0991E08-414E-43C9-AF7E-3D61CC53CE75}"/>
    <cellStyle name="Percent 3 2" xfId="152" xr:uid="{FCE66238-17F8-4DD4-8C6C-E0CFAE780394}"/>
    <cellStyle name="Percent 3 2 2" xfId="153" xr:uid="{4FEFA8D0-83E9-41D5-AE9A-049774030413}"/>
    <cellStyle name="Percent 3 2 2 2" xfId="154" xr:uid="{2DEE0A52-7E1C-4DA4-9E92-2FCF5D463A3F}"/>
    <cellStyle name="Percent 3 2 3" xfId="155" xr:uid="{5D5AA900-B890-4771-9363-6D84E9269073}"/>
    <cellStyle name="Percent 3 2 4" xfId="156" xr:uid="{514E0F85-D5BB-4358-B6C0-87F3DC34787C}"/>
    <cellStyle name="Percent 3 3" xfId="157" xr:uid="{142D7568-F645-4131-A4C3-76B4798117A0}"/>
    <cellStyle name="Percent 3 3 2" xfId="158" xr:uid="{EE8A993C-AF95-471A-988C-41147C8C3E82}"/>
    <cellStyle name="Percent 3 3 3" xfId="159" xr:uid="{0A3766E5-A5A1-4CFF-B09F-297B7E448A27}"/>
    <cellStyle name="Percent 3 4" xfId="160" xr:uid="{ECE6A313-02F2-4189-BE01-A0C9978B41B7}"/>
    <cellStyle name="Percent 3 4 2" xfId="161" xr:uid="{46F38A96-9301-4763-A8FF-AFDA1F3E4404}"/>
    <cellStyle name="Percent 3 5" xfId="162" xr:uid="{1229CE69-C0C2-4E9A-8225-D57C65C7E493}"/>
    <cellStyle name="Percent 3 5 2" xfId="163" xr:uid="{36DEFF7B-BF4D-4EF3-A6FE-C0253D0E2864}"/>
    <cellStyle name="Percent 3 6" xfId="164" xr:uid="{669B23E3-72EA-4D09-AF66-E0943D1A7FF8}"/>
    <cellStyle name="Percent 3 6 2" xfId="165" xr:uid="{ADE9DD6D-39F4-4CC0-9084-D41FAABE3C45}"/>
    <cellStyle name="Percent 3 7" xfId="166" xr:uid="{C7B9000B-5111-41C0-890D-04A85799DBCD}"/>
    <cellStyle name="Percent 3 8" xfId="167" xr:uid="{D624A267-8698-4709-B09E-8EA2EC487402}"/>
    <cellStyle name="Percent 3 9" xfId="168" xr:uid="{34A11E3F-A08C-427B-B10E-0BF3FE305790}"/>
    <cellStyle name="Percent 4" xfId="169" xr:uid="{2139563E-BD5D-4F05-8546-6B02BCC7742A}"/>
    <cellStyle name="Percent 4 2" xfId="170" xr:uid="{7CA39448-2A57-422D-BD0A-7223B4371BDE}"/>
    <cellStyle name="Percent 4 2 2" xfId="171" xr:uid="{55DA87B7-6D4F-43E2-A1C4-0867337555FE}"/>
    <cellStyle name="Percent 4 2 2 2" xfId="172" xr:uid="{7896F261-4082-4F7A-8352-0305FEA5EF7B}"/>
    <cellStyle name="Percent 4 2 3" xfId="173" xr:uid="{FC51304F-D404-419E-9A5C-8DA4DACEB11C}"/>
    <cellStyle name="Percent 4 2 4" xfId="174" xr:uid="{2F2B2FF2-2EA7-44C7-9476-9A0E0302D939}"/>
    <cellStyle name="Percent 4 3" xfId="175" xr:uid="{2579A578-6D9B-44F1-B58D-47192D3E7449}"/>
    <cellStyle name="Percent 4 3 2" xfId="176" xr:uid="{ECE49C19-87F9-4399-BA5F-BC08119003B3}"/>
    <cellStyle name="Percent 4 3 3" xfId="177" xr:uid="{EDAAF61F-00CF-483B-A1AA-195D77C18ACF}"/>
    <cellStyle name="Percent 4 4" xfId="178" xr:uid="{4B898161-47A5-495D-9DF0-D94479559942}"/>
    <cellStyle name="Percent 4 4 2" xfId="179" xr:uid="{64069B9A-B9C7-45B4-B01B-4470E03257C0}"/>
    <cellStyle name="Percent 4 5" xfId="180" xr:uid="{AB7B057C-9156-40F5-80E3-593663FEDBDB}"/>
    <cellStyle name="Percent 4 5 2" xfId="181" xr:uid="{4B037D19-F6A3-4E0A-8E0C-B02BCEB439CA}"/>
    <cellStyle name="Percent 4 6" xfId="182" xr:uid="{7DA4FBAE-19E6-4F6C-815D-F547CB5E49BB}"/>
    <cellStyle name="Percent 4 6 2" xfId="183" xr:uid="{EFA47311-6651-46EB-8CBF-BBE04E69CEE1}"/>
    <cellStyle name="Percent 4 7" xfId="184" xr:uid="{D8079811-0B61-4BC1-A92F-C488A6A6395A}"/>
    <cellStyle name="Percent 4 8" xfId="185" xr:uid="{DC42B98C-C7D0-4DCA-9F79-5A139CDCBB2F}"/>
    <cellStyle name="Percent 4 9" xfId="186" xr:uid="{40DF9479-5BD3-498F-BB62-3B68724857FE}"/>
    <cellStyle name="Percent 5" xfId="187" xr:uid="{7D184763-279E-465A-B568-844478D057DD}"/>
    <cellStyle name="Percent 5 2" xfId="188" xr:uid="{EEB27EBA-F7EA-46CB-924B-8CEDD4EE7E82}"/>
    <cellStyle name="Percent 5 2 2" xfId="189" xr:uid="{635ADB0A-321F-4A8E-A2C3-449F02001122}"/>
    <cellStyle name="Percent 5 2 3" xfId="190" xr:uid="{DB7ADF87-0E0C-4923-8222-8F32CE4D859B}"/>
    <cellStyle name="Percent 5 3" xfId="191" xr:uid="{992C5E41-FB79-43FF-8243-71B4C984C010}"/>
    <cellStyle name="Percent 5 3 2" xfId="192" xr:uid="{8694D273-7221-4DA8-A948-32AAB44C25AB}"/>
    <cellStyle name="Percent 5 4" xfId="193" xr:uid="{0EF8AC26-26B2-45F3-838D-319B06094B07}"/>
    <cellStyle name="Percent 5 4 2" xfId="194" xr:uid="{C607EFB2-9991-4047-9DE5-B201279D9FD6}"/>
    <cellStyle name="Percent 5 5" xfId="195" xr:uid="{A61F30F0-B7D7-4A00-ADDE-0D5B0DCE7303}"/>
    <cellStyle name="Percent 5 5 2" xfId="196" xr:uid="{8C2E1ABD-C0DF-4AB8-8582-A9A46DEB8852}"/>
    <cellStyle name="Percent 5 6" xfId="197" xr:uid="{F7AC23B8-2F3D-4F1F-9E02-BB58754507E1}"/>
    <cellStyle name="Percent 5 7" xfId="198" xr:uid="{7C90BE5A-3CC5-4777-9436-3875CB3213E9}"/>
    <cellStyle name="Percent 5 8" xfId="199" xr:uid="{FEA74B1F-0DBD-4C4C-AF55-1508B4A9F5BF}"/>
    <cellStyle name="Percent 6" xfId="318" xr:uid="{B1E4A478-E421-4E15-9CDE-14BE6E619346}"/>
    <cellStyle name="Percent 9" xfId="319" xr:uid="{3A122A98-4FF7-4EE0-B609-1A560EF2B86C}"/>
    <cellStyle name="Title 2" xfId="325" xr:uid="{C4F9D9FE-E7F5-4F67-BC81-ABEDB62395EA}"/>
    <cellStyle name="Total 2" xfId="320" xr:uid="{5DCFBF22-A7FB-4450-A8DE-C89B00AC862B}"/>
    <cellStyle name="Warning Text 2" xfId="321" xr:uid="{D01D62D4-7AAC-4EBF-9D9C-76C1645582FB}"/>
  </cellStyles>
  <dxfs count="4">
    <dxf>
      <numFmt numFmtId="173" formatCode="&quot;*&quot;;&quot;*&quot;"/>
    </dxf>
    <dxf>
      <numFmt numFmtId="173" formatCode="&quot;*&quot;;&quot;*&quot;"/>
    </dxf>
    <dxf>
      <numFmt numFmtId="173" formatCode="&quot;*&quot;;&quot;*&quot;"/>
    </dxf>
    <dxf>
      <numFmt numFmtId="173"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121920</xdr:colOff>
      <xdr:row>48</xdr:row>
      <xdr:rowOff>30480</xdr:rowOff>
    </xdr:from>
    <xdr:to>
      <xdr:col>4</xdr:col>
      <xdr:colOff>830580</xdr:colOff>
      <xdr:row>79</xdr:row>
      <xdr:rowOff>114300</xdr:rowOff>
    </xdr:to>
    <xdr:sp macro="" textlink="">
      <xdr:nvSpPr>
        <xdr:cNvPr id="2" name="TextBox 1">
          <a:extLst>
            <a:ext uri="{FF2B5EF4-FFF2-40B4-BE49-F238E27FC236}">
              <a16:creationId xmlns:a16="http://schemas.microsoft.com/office/drawing/2014/main" id="{2C5D6770-3C53-4338-B0A9-BE2465C1E0C7}"/>
            </a:ext>
          </a:extLst>
        </xdr:cNvPr>
        <xdr:cNvSpPr txBox="1"/>
      </xdr:nvSpPr>
      <xdr:spPr>
        <a:xfrm>
          <a:off x="121920" y="12070080"/>
          <a:ext cx="7886700" cy="579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dk1"/>
              </a:solidFill>
              <a:effectLst/>
              <a:latin typeface="+mn-lt"/>
              <a:ea typeface="+mn-ea"/>
              <a:cs typeface="+mn-cs"/>
            </a:rPr>
            <a:t>Explanation:</a:t>
          </a:r>
          <a:br>
            <a:rPr lang="en-US" sz="1100" u="sng">
              <a:solidFill>
                <a:schemeClr val="dk1"/>
              </a:solidFill>
              <a:effectLst/>
              <a:latin typeface="+mn-lt"/>
              <a:ea typeface="+mn-ea"/>
              <a:cs typeface="+mn-cs"/>
            </a:rPr>
          </a:br>
          <a:br>
            <a:rPr lang="en-US" sz="1100" u="sng">
              <a:solidFill>
                <a:schemeClr val="dk1"/>
              </a:solidFill>
              <a:effectLst/>
              <a:latin typeface="+mn-lt"/>
              <a:ea typeface="+mn-ea"/>
              <a:cs typeface="+mn-cs"/>
            </a:rPr>
          </a:br>
          <a:r>
            <a:rPr lang="en-US" sz="1100" u="sng">
              <a:solidFill>
                <a:schemeClr val="dk1"/>
              </a:solidFill>
              <a:effectLst/>
              <a:latin typeface="+mn-lt"/>
              <a:ea typeface="+mn-ea"/>
              <a:cs typeface="+mn-cs"/>
            </a:rPr>
            <a:t>Insolvency Year and Savings Tab</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On the left side, we have the different proposals with their respective policies. The numbers in the columns for Total Savings and the individual policies reflect their savings in 10 years from the year at the top of the column while the colored numbers in the boxes filled with blue reflect the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HI Trust Balance in 2030 with the implementation of the proposal</a:t>
          </a:r>
          <a:r>
            <a:rPr lang="en-US" sz="1100" baseline="0">
              <a:solidFill>
                <a:schemeClr val="dk1"/>
              </a:solidFill>
              <a:effectLst/>
              <a:latin typeface="+mn-lt"/>
              <a:ea typeface="+mn-ea"/>
              <a:cs typeface="+mn-cs"/>
            </a:rPr>
            <a:t> in that year</a:t>
          </a:r>
          <a:r>
            <a:rPr lang="en-US" sz="1100">
              <a:solidFill>
                <a:schemeClr val="dk1"/>
              </a:solidFill>
              <a:effectLst/>
              <a:latin typeface="+mn-lt"/>
              <a:ea typeface="+mn-ea"/>
              <a:cs typeface="+mn-cs"/>
            </a:rPr>
            <a:t>. As an example, Proposal 1 (Bill’s Recommendations) if implemented in 2021 would produce total savings of $559 billion (cell B9) over 10 years. At</a:t>
          </a:r>
          <a:r>
            <a:rPr lang="en-US" sz="1100" baseline="0">
              <a:solidFill>
                <a:schemeClr val="dk1"/>
              </a:solidFill>
              <a:effectLst/>
              <a:latin typeface="+mn-lt"/>
              <a:ea typeface="+mn-ea"/>
              <a:cs typeface="+mn-cs"/>
            </a:rPr>
            <a:t> the end of the 2030, in this case the end of the ten years, the projected balance would be $170 billion. </a:t>
          </a:r>
          <a:r>
            <a:rPr lang="en-US" sz="1100">
              <a:solidFill>
                <a:schemeClr val="dk1"/>
              </a:solidFill>
              <a:effectLst/>
              <a:latin typeface="+mn-lt"/>
              <a:ea typeface="+mn-ea"/>
              <a:cs typeface="+mn-cs"/>
            </a:rPr>
            <a:t>As the projected balance in 10 years under current law from 2021 at -$388.44 billion (cell B2), there's</a:t>
          </a:r>
          <a:r>
            <a:rPr lang="en-US" sz="1100" baseline="0">
              <a:solidFill>
                <a:schemeClr val="dk1"/>
              </a:solidFill>
              <a:effectLst/>
              <a:latin typeface="+mn-lt"/>
              <a:ea typeface="+mn-ea"/>
              <a:cs typeface="+mn-cs"/>
            </a:rPr>
            <a:t> a difference of about $558 billion between current law and Proposal 1. The balance drops lower and becomes negative if policymakers wait past 2021 to implement it, as is the case with most other proposals. </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On the right side, we have on the top CBO’s Baseline Projections of the HI Trust Fund Balance from 2020 – 2031. From 2032 – 35, our team extrapolated numbers accordingly:</a:t>
          </a:r>
        </a:p>
        <a:p>
          <a:pPr marL="228600" lvl="0" indent="-228600">
            <a:buFont typeface="+mj-lt"/>
            <a:buAutoNum type="arabicPeriod"/>
          </a:pPr>
          <a:r>
            <a:rPr lang="en-US" sz="1100">
              <a:solidFill>
                <a:schemeClr val="dk1"/>
              </a:solidFill>
              <a:effectLst/>
              <a:latin typeface="+mn-lt"/>
              <a:ea typeface="+mn-ea"/>
              <a:cs typeface="+mn-cs"/>
            </a:rPr>
            <a:t>Years before 2023 still have COVID effects that will likely not be apparent after 2030. so step one is dropping everything before 2023 </a:t>
          </a:r>
        </a:p>
        <a:p>
          <a:pPr marL="228600" lvl="0" indent="-228600">
            <a:buFont typeface="+mj-lt"/>
            <a:buAutoNum type="arabicPeriod"/>
          </a:pPr>
          <a:r>
            <a:rPr lang="en-US" sz="1100">
              <a:solidFill>
                <a:schemeClr val="dk1"/>
              </a:solidFill>
              <a:effectLst/>
              <a:latin typeface="+mn-lt"/>
              <a:ea typeface="+mn-ea"/>
              <a:cs typeface="+mn-cs"/>
            </a:rPr>
            <a:t>There are some fluctuations in spending that are likely caused by timing shifts--eg October 1 falls on a weekend, shifting some spending from one fiscal year to another. Even if they're all not driven by clear randomness as in that example, we want to purge the spending </a:t>
          </a:r>
          <a:r>
            <a:rPr lang="en-US" sz="1100" i="1">
              <a:solidFill>
                <a:schemeClr val="dk1"/>
              </a:solidFill>
              <a:effectLst/>
              <a:latin typeface="+mn-lt"/>
              <a:ea typeface="+mn-ea"/>
              <a:cs typeface="+mn-cs"/>
            </a:rPr>
            <a:t>trend</a:t>
          </a:r>
          <a:r>
            <a:rPr lang="en-US" sz="1100">
              <a:solidFill>
                <a:schemeClr val="dk1"/>
              </a:solidFill>
              <a:effectLst/>
              <a:latin typeface="+mn-lt"/>
              <a:ea typeface="+mn-ea"/>
              <a:cs typeface="+mn-cs"/>
            </a:rPr>
            <a:t> from the idiosyncrasies of individual years, so we've taken three-year moving average to smooth through all those fluctuations around the trend. </a:t>
          </a:r>
        </a:p>
        <a:p>
          <a:pPr marL="228600" lvl="0" indent="-228600">
            <a:buFont typeface="+mj-lt"/>
            <a:buAutoNum type="arabicPeriod"/>
          </a:pPr>
          <a:r>
            <a:rPr lang="en-US" sz="1100">
              <a:solidFill>
                <a:schemeClr val="dk1"/>
              </a:solidFill>
              <a:effectLst/>
              <a:latin typeface="+mn-lt"/>
              <a:ea typeface="+mn-ea"/>
              <a:cs typeface="+mn-cs"/>
            </a:rPr>
            <a:t>Once we drop COVID years, revenue is almost perfectly linear. Once we drop COVID years and smooth spending in step (2), spending is also almost perfectly linear. We then regress post-2023 revenue and post-2023 smoothed spending on a year trend and use the regression's predicted values for 2032-5.</a:t>
          </a:r>
        </a:p>
        <a:p>
          <a:pPr marL="228600" lvl="0" indent="-228600">
            <a:buFont typeface="+mj-lt"/>
            <a:buAutoNum type="arabicPeriod"/>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Below that, I’ve calculated the projected balance at the end of the corresponding year if policies were implemented. Cell J9 takes the total savings of $559 billion, divides it by 10 to get average savings per year, and adds it to the end of the year balance under current law. That’s done at least</a:t>
          </a:r>
          <a:r>
            <a:rPr lang="en-US" sz="1100" baseline="0">
              <a:solidFill>
                <a:schemeClr val="dk1"/>
              </a:solidFill>
              <a:effectLst/>
              <a:latin typeface="+mn-lt"/>
              <a:ea typeface="+mn-ea"/>
              <a:cs typeface="+mn-cs"/>
            </a:rPr>
            <a:t> until 2030</a:t>
          </a:r>
          <a:r>
            <a:rPr lang="en-US" sz="1100">
              <a:solidFill>
                <a:schemeClr val="dk1"/>
              </a:solidFill>
              <a:effectLst/>
              <a:latin typeface="+mn-lt"/>
              <a:ea typeface="+mn-ea"/>
              <a:cs typeface="+mn-cs"/>
            </a:rPr>
            <a:t>,, and goes further if the balance still remains positive. The year where the positive turns negative is the insolvency year and that’s bolded and underlined.</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Proposals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this second tab, I’ve tried to explain the individual policies when helpful and how their impact was estimated, with the calculation themselves mostly on the 3</a:t>
          </a:r>
          <a:r>
            <a:rPr lang="en-US" sz="1100" baseline="30000">
              <a:solidFill>
                <a:schemeClr val="dk1"/>
              </a:solidFill>
              <a:effectLst/>
              <a:latin typeface="+mn-lt"/>
              <a:ea typeface="+mn-ea"/>
              <a:cs typeface="+mn-cs"/>
            </a:rPr>
            <a:t>rd</a:t>
          </a:r>
          <a:r>
            <a:rPr lang="en-US" sz="1100">
              <a:solidFill>
                <a:schemeClr val="dk1"/>
              </a:solidFill>
              <a:effectLst/>
              <a:latin typeface="+mn-lt"/>
              <a:ea typeface="+mn-ea"/>
              <a:cs typeface="+mn-cs"/>
            </a:rPr>
            <a:t> tab. The final version of the spreadsheet will have each proposal link to their original source, like the Health Affairs article written by Cutler et al.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Tab 4 contains the most recent CBO numbers and Tab 5 contains the numbers from last Fall.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bo.gov/system/files/2020-12/56783-budget-options.pdf" TargetMode="External"/><Relationship Id="rId3" Type="http://schemas.openxmlformats.org/officeDocument/2006/relationships/hyperlink" Target="https://www.healthaffairs.org/doi/full/10.1377/hlthaff.2013.0188" TargetMode="External"/><Relationship Id="rId7" Type="http://schemas.openxmlformats.org/officeDocument/2006/relationships/hyperlink" Target="https://www.healthaffairs.org/do/10.1377/hblog20200608.322412/abs/" TargetMode="External"/><Relationship Id="rId2" Type="http://schemas.openxmlformats.org/officeDocument/2006/relationships/hyperlink" Target="https://www.nhpf.org/uploads/Handouts/Miller-slides_02-20-15.pdf" TargetMode="External"/><Relationship Id="rId1" Type="http://schemas.openxmlformats.org/officeDocument/2006/relationships/hyperlink" Target="https://www.cbo.gov/system/files/2019-06/54667-budgetoptions-2.pdf" TargetMode="External"/><Relationship Id="rId6" Type="http://schemas.openxmlformats.org/officeDocument/2006/relationships/hyperlink" Target="https://www.commonwealthfund.org/blog/2021/reforms-make-all-medicare-financially-sound" TargetMode="External"/><Relationship Id="rId5" Type="http://schemas.openxmlformats.org/officeDocument/2006/relationships/hyperlink" Target="https://www.commonwealthfund.org/blog/2021/restoring-trust-medicare-hi" TargetMode="External"/><Relationship Id="rId4" Type="http://schemas.openxmlformats.org/officeDocument/2006/relationships/hyperlink" Target="https://www.cbo.gov/system/files/115th-congress-2017-2018/reports/53077-premiumsupport.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B14AD-1B73-46CB-AAC5-B8020DE0532C}">
  <dimension ref="A1:Z60"/>
  <sheetViews>
    <sheetView tabSelected="1" workbookViewId="0">
      <pane ySplit="1" topLeftCell="A2" activePane="bottomLeft" state="frozen"/>
      <selection activeCell="G1" sqref="G1"/>
      <selection pane="bottomLeft" activeCell="F8" sqref="F8"/>
    </sheetView>
  </sheetViews>
  <sheetFormatPr defaultColWidth="8.85546875" defaultRowHeight="15"/>
  <cols>
    <col min="1" max="1" width="36.7109375" style="109" customWidth="1"/>
    <col min="2" max="2" width="23.5703125" style="109" customWidth="1"/>
    <col min="3" max="3" width="21.85546875" style="109" customWidth="1"/>
    <col min="4" max="4" width="22.5703125" style="109" bestFit="1" customWidth="1"/>
    <col min="5" max="5" width="21.28515625" style="109" bestFit="1" customWidth="1"/>
    <col min="6" max="6" width="15" style="109" bestFit="1" customWidth="1"/>
    <col min="7" max="7" width="8.85546875" style="109"/>
    <col min="8" max="8" width="26.7109375" style="109" bestFit="1" customWidth="1"/>
    <col min="9" max="10" width="9" style="109" bestFit="1" customWidth="1"/>
    <col min="11" max="11" width="8.7109375" style="109" customWidth="1"/>
    <col min="12" max="15" width="8.28515625" style="109" bestFit="1" customWidth="1"/>
    <col min="16" max="16" width="11.28515625" style="109" customWidth="1"/>
    <col min="17" max="17" width="9.85546875" style="109" customWidth="1"/>
    <col min="18" max="18" width="9.7109375" style="109" bestFit="1" customWidth="1"/>
    <col min="19" max="19" width="10.5703125" style="109" customWidth="1"/>
    <col min="20" max="20" width="12.140625" style="109" customWidth="1"/>
    <col min="21" max="23" width="9.7109375" style="109" bestFit="1" customWidth="1"/>
    <col min="24" max="24" width="10.140625" style="109" bestFit="1" customWidth="1"/>
    <col min="25" max="16384" width="8.85546875" style="109"/>
  </cols>
  <sheetData>
    <row r="1" spans="1:26" ht="15" customHeight="1" thickTop="1">
      <c r="A1" s="352" t="s">
        <v>172</v>
      </c>
      <c r="B1" s="352"/>
      <c r="C1" s="352"/>
      <c r="D1" s="352"/>
      <c r="E1" s="352"/>
      <c r="F1" s="353"/>
      <c r="H1" s="121"/>
      <c r="I1" s="122">
        <v>2020</v>
      </c>
      <c r="J1" s="122">
        <v>2021</v>
      </c>
      <c r="K1" s="122">
        <v>2022</v>
      </c>
      <c r="L1" s="122">
        <v>2023</v>
      </c>
      <c r="M1" s="254">
        <v>2024</v>
      </c>
      <c r="N1" s="122">
        <v>2025</v>
      </c>
      <c r="O1" s="252">
        <v>2026</v>
      </c>
      <c r="P1" s="122">
        <v>2027</v>
      </c>
      <c r="Q1" s="122">
        <v>2028</v>
      </c>
      <c r="R1" s="122">
        <v>2029</v>
      </c>
      <c r="S1" s="328">
        <v>2030</v>
      </c>
      <c r="T1" s="122">
        <v>2031</v>
      </c>
      <c r="U1" s="122">
        <v>2032</v>
      </c>
      <c r="V1" s="122">
        <v>2033</v>
      </c>
      <c r="W1" s="122">
        <v>2034</v>
      </c>
      <c r="X1" s="123">
        <v>2035</v>
      </c>
    </row>
    <row r="2" spans="1:26" ht="55.15" customHeight="1">
      <c r="A2" s="352"/>
      <c r="B2" s="352"/>
      <c r="C2" s="352"/>
      <c r="D2" s="352"/>
      <c r="E2" s="352"/>
      <c r="F2" s="353"/>
      <c r="G2" s="117"/>
      <c r="H2" s="124" t="s">
        <v>92</v>
      </c>
      <c r="I2" s="119">
        <v>198.625</v>
      </c>
      <c r="J2" s="119">
        <f>I7</f>
        <v>135.04099999999997</v>
      </c>
      <c r="K2" s="119">
        <f>J7</f>
        <v>136.2540007324219</v>
      </c>
      <c r="L2" s="119">
        <f t="shared" ref="L2:X2" si="0">K7</f>
        <v>134.03901538085938</v>
      </c>
      <c r="M2" s="119">
        <f t="shared" si="0"/>
        <v>104.58502661132812</v>
      </c>
      <c r="N2" s="119">
        <f t="shared" si="0"/>
        <v>75.1510268554687</v>
      </c>
      <c r="O2" s="119">
        <f t="shared" si="0"/>
        <v>21.532036621093681</v>
      </c>
      <c r="P2" s="119">
        <f t="shared" si="0"/>
        <v>-40.407960937500093</v>
      </c>
      <c r="Q2" s="119">
        <f t="shared" si="0"/>
        <v>-109.63894238281262</v>
      </c>
      <c r="R2" s="119">
        <f t="shared" si="0"/>
        <v>-213.30696875000012</v>
      </c>
      <c r="S2" s="329">
        <f>R7</f>
        <v>-285.2829970703126</v>
      </c>
      <c r="T2" s="119">
        <f t="shared" si="0"/>
        <v>-388.44000537109383</v>
      </c>
      <c r="U2" s="119">
        <f t="shared" si="0"/>
        <v>-516.40297949218757</v>
      </c>
      <c r="V2" s="119">
        <f t="shared" si="0"/>
        <v>-640.45546972656257</v>
      </c>
      <c r="W2" s="119">
        <f t="shared" si="0"/>
        <v>-774.84249365234382</v>
      </c>
      <c r="X2" s="125">
        <f t="shared" si="0"/>
        <v>-919.56405126953132</v>
      </c>
    </row>
    <row r="3" spans="1:26" ht="15.75" thickBot="1">
      <c r="A3" s="354"/>
      <c r="B3" s="354"/>
      <c r="C3" s="354"/>
      <c r="D3" s="354"/>
      <c r="E3" s="354"/>
      <c r="F3" s="355"/>
      <c r="H3" s="126" t="s">
        <v>94</v>
      </c>
      <c r="I3" s="140">
        <v>343.50200000000001</v>
      </c>
      <c r="J3" s="140">
        <v>340.32300000000004</v>
      </c>
      <c r="K3" s="140">
        <v>345.36399999999998</v>
      </c>
      <c r="L3" s="140">
        <v>373.34199999999998</v>
      </c>
      <c r="M3" s="140">
        <v>390.97199999999998</v>
      </c>
      <c r="N3" s="140">
        <v>410.13900000000001</v>
      </c>
      <c r="O3" s="140">
        <v>431.87</v>
      </c>
      <c r="P3" s="140">
        <v>454.15</v>
      </c>
      <c r="Q3" s="140">
        <v>473.15899999999999</v>
      </c>
      <c r="R3" s="140">
        <v>492.15300000000002</v>
      </c>
      <c r="S3" s="330">
        <v>511.81400000000002</v>
      </c>
      <c r="T3" s="140">
        <v>532.59799999999996</v>
      </c>
      <c r="U3" s="140">
        <v>552.64971923828125</v>
      </c>
      <c r="V3" s="140">
        <v>572.7308349609375</v>
      </c>
      <c r="W3" s="140">
        <v>592.81195068359375</v>
      </c>
      <c r="X3" s="128">
        <v>612.89306640625</v>
      </c>
    </row>
    <row r="4" spans="1:26" ht="28.5">
      <c r="A4" s="340" t="s">
        <v>159</v>
      </c>
      <c r="B4" s="349">
        <f>T2</f>
        <v>-388.44000537109383</v>
      </c>
      <c r="C4" s="350"/>
      <c r="D4" s="350"/>
      <c r="E4" s="350"/>
      <c r="F4" s="351"/>
      <c r="H4" s="127" t="s">
        <v>72</v>
      </c>
      <c r="I4" s="140">
        <v>-412.40699999999998</v>
      </c>
      <c r="J4" s="140">
        <v>-344.16799926757813</v>
      </c>
      <c r="K4" s="140">
        <v>-352.4849853515625</v>
      </c>
      <c r="L4" s="140">
        <v>-407.32598876953125</v>
      </c>
      <c r="M4" s="140">
        <v>-423.80599975585938</v>
      </c>
      <c r="N4" s="140">
        <v>-465.739990234375</v>
      </c>
      <c r="O4" s="140">
        <v>-493.80999755859375</v>
      </c>
      <c r="P4" s="140">
        <v>-523.3809814453125</v>
      </c>
      <c r="Q4" s="140">
        <v>-576.8270263671875</v>
      </c>
      <c r="R4" s="140">
        <v>-564.1290283203125</v>
      </c>
      <c r="S4" s="330">
        <v>-614.97100830078125</v>
      </c>
      <c r="T4" s="140">
        <v>-660.56097412109375</v>
      </c>
      <c r="U4" s="140">
        <v>-676.70220947265625</v>
      </c>
      <c r="V4" s="140">
        <v>-707.11785888671875</v>
      </c>
      <c r="W4" s="140">
        <v>-737.53350830078125</v>
      </c>
      <c r="X4" s="128">
        <v>-767.94915771484375</v>
      </c>
    </row>
    <row r="5" spans="1:26">
      <c r="A5" s="118"/>
      <c r="B5" s="115"/>
      <c r="C5" s="115"/>
      <c r="D5" s="115"/>
      <c r="E5" s="115"/>
      <c r="F5" s="116"/>
      <c r="H5" s="129" t="s">
        <v>93</v>
      </c>
      <c r="I5" s="120">
        <v>5.3209999999999997</v>
      </c>
      <c r="J5" s="120">
        <v>5.0579999999999998</v>
      </c>
      <c r="K5" s="120">
        <v>4.9059999999999997</v>
      </c>
      <c r="L5" s="120">
        <v>4.53</v>
      </c>
      <c r="M5" s="120">
        <v>3.4</v>
      </c>
      <c r="N5" s="120">
        <v>1.982</v>
      </c>
      <c r="O5" s="120">
        <v>0</v>
      </c>
      <c r="P5" s="120">
        <v>0</v>
      </c>
      <c r="Q5" s="120">
        <v>0</v>
      </c>
      <c r="R5" s="120">
        <v>0</v>
      </c>
      <c r="S5" s="329">
        <v>0</v>
      </c>
      <c r="T5" s="120">
        <v>0</v>
      </c>
      <c r="U5" s="120">
        <v>0</v>
      </c>
      <c r="V5" s="120">
        <v>0</v>
      </c>
      <c r="W5" s="120">
        <v>0</v>
      </c>
      <c r="X5" s="130">
        <v>0</v>
      </c>
    </row>
    <row r="6" spans="1:26" ht="15.75" thickBot="1">
      <c r="A6" s="118"/>
      <c r="F6" s="339"/>
      <c r="G6" s="338"/>
      <c r="H6" s="127" t="s">
        <v>75</v>
      </c>
      <c r="I6" s="119">
        <f>SUM(I3:I5)</f>
        <v>-63.583999999999975</v>
      </c>
      <c r="J6" s="119">
        <f t="shared" ref="J6:X6" si="1">SUM(J3:J5)</f>
        <v>1.2130007324219108</v>
      </c>
      <c r="K6" s="119">
        <f t="shared" si="1"/>
        <v>-2.2149853515625244</v>
      </c>
      <c r="L6" s="119">
        <f t="shared" si="1"/>
        <v>-29.453988769531264</v>
      </c>
      <c r="M6" s="253">
        <f t="shared" si="1"/>
        <v>-29.433999755859396</v>
      </c>
      <c r="N6" s="119">
        <f t="shared" si="1"/>
        <v>-53.618990234374991</v>
      </c>
      <c r="O6" s="119">
        <f t="shared" si="1"/>
        <v>-61.939997558593745</v>
      </c>
      <c r="P6" s="119">
        <f t="shared" si="1"/>
        <v>-69.230981445312523</v>
      </c>
      <c r="Q6" s="119">
        <f t="shared" si="1"/>
        <v>-103.66802636718751</v>
      </c>
      <c r="R6" s="119">
        <f t="shared" si="1"/>
        <v>-71.97602832031248</v>
      </c>
      <c r="S6" s="329">
        <f t="shared" si="1"/>
        <v>-103.15700830078123</v>
      </c>
      <c r="T6" s="119">
        <f t="shared" si="1"/>
        <v>-127.96297412109379</v>
      </c>
      <c r="U6" s="119">
        <f t="shared" si="1"/>
        <v>-124.052490234375</v>
      </c>
      <c r="V6" s="119">
        <f t="shared" si="1"/>
        <v>-134.38702392578125</v>
      </c>
      <c r="W6" s="119">
        <f t="shared" si="1"/>
        <v>-144.7215576171875</v>
      </c>
      <c r="X6" s="147">
        <f t="shared" si="1"/>
        <v>-155.05609130859375</v>
      </c>
    </row>
    <row r="7" spans="1:26" ht="30.75" thickBot="1">
      <c r="A7" s="145" t="s">
        <v>167</v>
      </c>
      <c r="B7" s="153">
        <v>2021</v>
      </c>
      <c r="C7" s="153">
        <v>2022</v>
      </c>
      <c r="D7" s="153">
        <v>2023</v>
      </c>
      <c r="E7" s="153">
        <v>2024</v>
      </c>
      <c r="F7" s="154">
        <v>2025</v>
      </c>
      <c r="H7" s="131" t="s">
        <v>95</v>
      </c>
      <c r="I7" s="132">
        <f t="shared" ref="I7:X7" si="2">SUM(I2:I5)</f>
        <v>135.04099999999997</v>
      </c>
      <c r="J7" s="132">
        <f t="shared" si="2"/>
        <v>136.2540007324219</v>
      </c>
      <c r="K7" s="132">
        <f t="shared" si="2"/>
        <v>134.03901538085938</v>
      </c>
      <c r="L7" s="132">
        <f t="shared" si="2"/>
        <v>104.58502661132812</v>
      </c>
      <c r="M7" s="133">
        <f t="shared" si="2"/>
        <v>75.1510268554687</v>
      </c>
      <c r="N7" s="132">
        <f t="shared" si="2"/>
        <v>21.532036621093681</v>
      </c>
      <c r="O7" s="132">
        <f t="shared" si="2"/>
        <v>-40.407960937500093</v>
      </c>
      <c r="P7" s="132">
        <f t="shared" si="2"/>
        <v>-109.63894238281262</v>
      </c>
      <c r="Q7" s="132">
        <f t="shared" si="2"/>
        <v>-213.30696875000012</v>
      </c>
      <c r="R7" s="132">
        <f t="shared" si="2"/>
        <v>-285.2829970703126</v>
      </c>
      <c r="S7" s="337">
        <f t="shared" si="2"/>
        <v>-388.44000537109383</v>
      </c>
      <c r="T7" s="132">
        <f t="shared" si="2"/>
        <v>-516.40297949218757</v>
      </c>
      <c r="U7" s="132">
        <f t="shared" si="2"/>
        <v>-640.45546972656257</v>
      </c>
      <c r="V7" s="132">
        <f t="shared" si="2"/>
        <v>-774.84249365234382</v>
      </c>
      <c r="W7" s="132">
        <f t="shared" si="2"/>
        <v>-919.56405126953132</v>
      </c>
      <c r="X7" s="134">
        <f t="shared" si="2"/>
        <v>-1074.6201425781251</v>
      </c>
    </row>
    <row r="8" spans="1:26" ht="30" thickTop="1">
      <c r="A8" s="156" t="s">
        <v>168</v>
      </c>
      <c r="B8" s="271">
        <f>S9</f>
        <v>240.45999462890603</v>
      </c>
      <c r="C8" s="272">
        <f>S10</f>
        <v>190.70827644708811</v>
      </c>
      <c r="D8" s="271">
        <f>S11</f>
        <v>138.2519677198153</v>
      </c>
      <c r="E8" s="272">
        <f>S12</f>
        <v>84.416693953451613</v>
      </c>
      <c r="F8" s="271">
        <f>S13</f>
        <v>27.924744668560635</v>
      </c>
      <c r="H8" s="109" t="s">
        <v>146</v>
      </c>
      <c r="S8" s="331"/>
    </row>
    <row r="9" spans="1:26" ht="14.45" customHeight="1" thickBot="1">
      <c r="A9" s="146" t="s">
        <v>160</v>
      </c>
      <c r="B9" s="159">
        <f>SUM(B10:B13)</f>
        <v>628.9</v>
      </c>
      <c r="C9" s="159">
        <f>SUM(C10:C13)</f>
        <v>643.49809090909093</v>
      </c>
      <c r="D9" s="159">
        <f>SUM(D10:D13)</f>
        <v>658.36496636363631</v>
      </c>
      <c r="E9" s="159">
        <f>SUM(E10:E13)</f>
        <v>675.50957046363624</v>
      </c>
      <c r="F9" s="160">
        <f>SUM(F10:F13)</f>
        <v>693.94125006609079</v>
      </c>
      <c r="H9" s="109" t="s">
        <v>96</v>
      </c>
      <c r="J9" s="140">
        <f>$B$9/10+J7</f>
        <v>199.14400073242189</v>
      </c>
      <c r="K9" s="140">
        <f t="shared" ref="K9:V9" si="3">$B$9/10+J9+K6</f>
        <v>259.81901538085935</v>
      </c>
      <c r="L9" s="140">
        <f t="shared" si="3"/>
        <v>293.25502661132805</v>
      </c>
      <c r="M9" s="140">
        <f t="shared" si="3"/>
        <v>326.71102685546862</v>
      </c>
      <c r="N9" s="140">
        <f t="shared" si="3"/>
        <v>335.98203662109358</v>
      </c>
      <c r="O9" s="140">
        <f t="shared" si="3"/>
        <v>336.93203906249983</v>
      </c>
      <c r="P9" s="140">
        <f t="shared" si="3"/>
        <v>330.59105761718729</v>
      </c>
      <c r="Q9" s="140">
        <f t="shared" si="3"/>
        <v>289.81303124999977</v>
      </c>
      <c r="R9" s="140">
        <f t="shared" si="3"/>
        <v>280.72700292968727</v>
      </c>
      <c r="S9" s="330">
        <f t="shared" si="3"/>
        <v>240.45999462890603</v>
      </c>
      <c r="T9" s="140">
        <f t="shared" si="3"/>
        <v>175.38702050781222</v>
      </c>
      <c r="U9" s="140">
        <f t="shared" si="3"/>
        <v>114.22453027343721</v>
      </c>
      <c r="V9" s="140">
        <f t="shared" si="3"/>
        <v>42.727506347655947</v>
      </c>
      <c r="W9" s="343">
        <f t="shared" ref="W9" si="4">$B$9/10+V9+W6</f>
        <v>-39.104051269531553</v>
      </c>
      <c r="X9" s="140"/>
      <c r="Y9" s="348" t="s">
        <v>173</v>
      </c>
      <c r="Z9" s="348"/>
    </row>
    <row r="10" spans="1:26" ht="15.75" thickBot="1">
      <c r="A10" s="110" t="s">
        <v>6</v>
      </c>
      <c r="B10" s="161">
        <f>80+0.04*(80)</f>
        <v>83.2</v>
      </c>
      <c r="C10" s="161">
        <f>B10+0.02*(B10)</f>
        <v>84.864000000000004</v>
      </c>
      <c r="D10" s="161">
        <f t="shared" ref="D10:F10" si="5">C10+0.02*(C10)</f>
        <v>86.561280000000011</v>
      </c>
      <c r="E10" s="161">
        <f t="shared" si="5"/>
        <v>88.292505600000013</v>
      </c>
      <c r="F10" s="168">
        <f t="shared" si="5"/>
        <v>90.058355712000008</v>
      </c>
      <c r="G10" s="155"/>
      <c r="H10" s="109" t="s">
        <v>97</v>
      </c>
      <c r="J10" s="109" t="s">
        <v>88</v>
      </c>
      <c r="K10" s="140">
        <f>$C$9/10+K7</f>
        <v>198.38882447176849</v>
      </c>
      <c r="L10" s="140">
        <f t="shared" ref="L10:U10" si="6">$C$9/10+K10+L6</f>
        <v>233.28464479314633</v>
      </c>
      <c r="M10" s="140">
        <f t="shared" si="6"/>
        <v>268.20045412819599</v>
      </c>
      <c r="N10" s="140">
        <f t="shared" si="6"/>
        <v>278.93127298473007</v>
      </c>
      <c r="O10" s="140">
        <f t="shared" si="6"/>
        <v>281.34108451704543</v>
      </c>
      <c r="P10" s="140">
        <f t="shared" si="6"/>
        <v>276.45991216264201</v>
      </c>
      <c r="Q10" s="140">
        <f t="shared" si="6"/>
        <v>237.14169488636361</v>
      </c>
      <c r="R10" s="140">
        <f t="shared" si="6"/>
        <v>229.51547565696023</v>
      </c>
      <c r="S10" s="330">
        <f t="shared" si="6"/>
        <v>190.70827644708811</v>
      </c>
      <c r="T10" s="140">
        <f t="shared" si="6"/>
        <v>127.09511141690342</v>
      </c>
      <c r="U10" s="140">
        <f t="shared" si="6"/>
        <v>67.392430273437526</v>
      </c>
      <c r="V10" s="143">
        <f t="shared" ref="V10" si="7">$C$9/10+U10+V6</f>
        <v>-2.6447845614346193</v>
      </c>
      <c r="W10" s="143"/>
      <c r="X10" s="140"/>
      <c r="Y10" s="348"/>
      <c r="Z10" s="348"/>
    </row>
    <row r="11" spans="1:26" ht="15.75" thickBot="1">
      <c r="A11" s="111" t="s">
        <v>8</v>
      </c>
      <c r="B11" s="161">
        <v>102</v>
      </c>
      <c r="C11" s="161">
        <f>B11*1.02</f>
        <v>104.04</v>
      </c>
      <c r="D11" s="161">
        <f t="shared" ref="D11:F11" si="8">C11*1.02</f>
        <v>106.1208</v>
      </c>
      <c r="E11" s="161">
        <f t="shared" si="8"/>
        <v>108.243216</v>
      </c>
      <c r="F11" s="185">
        <f t="shared" si="8"/>
        <v>110.40808032000001</v>
      </c>
      <c r="H11" s="109" t="s">
        <v>98</v>
      </c>
      <c r="L11" s="140">
        <f>D9/10+L7</f>
        <v>170.42152324769177</v>
      </c>
      <c r="M11" s="141">
        <f>$D$9/10+L$11+M$6</f>
        <v>206.824020128196</v>
      </c>
      <c r="N11" s="141">
        <f t="shared" ref="N11:V11" si="9">$D$9/10+M11+N6</f>
        <v>219.04152653018465</v>
      </c>
      <c r="O11" s="141">
        <f t="shared" si="9"/>
        <v>222.93802560795456</v>
      </c>
      <c r="P11" s="141">
        <f t="shared" si="9"/>
        <v>219.54354079900565</v>
      </c>
      <c r="Q11" s="141">
        <f t="shared" si="9"/>
        <v>181.71201106818177</v>
      </c>
      <c r="R11" s="141">
        <f t="shared" si="9"/>
        <v>175.57247938423291</v>
      </c>
      <c r="S11" s="332">
        <f t="shared" si="9"/>
        <v>138.2519677198153</v>
      </c>
      <c r="T11" s="141">
        <f t="shared" si="9"/>
        <v>76.125490235085124</v>
      </c>
      <c r="U11" s="141">
        <f t="shared" si="9"/>
        <v>17.909496637073744</v>
      </c>
      <c r="V11" s="144">
        <f t="shared" si="9"/>
        <v>-50.641030652343872</v>
      </c>
      <c r="W11" s="141"/>
      <c r="X11" s="141"/>
      <c r="Y11" s="348"/>
      <c r="Z11" s="348"/>
    </row>
    <row r="12" spans="1:26" ht="15.75" thickBot="1">
      <c r="A12" s="111" t="s">
        <v>10</v>
      </c>
      <c r="B12" s="161">
        <v>59.7</v>
      </c>
      <c r="C12" s="161">
        <f>1.05*(B12)</f>
        <v>62.685000000000002</v>
      </c>
      <c r="D12" s="161">
        <f>1.05*C12</f>
        <v>65.819250000000011</v>
      </c>
      <c r="E12" s="161">
        <f>1.05*(D12)</f>
        <v>69.110212500000017</v>
      </c>
      <c r="F12" s="162">
        <f>1.05*E12</f>
        <v>72.565723125000019</v>
      </c>
      <c r="H12" s="109" t="s">
        <v>99</v>
      </c>
      <c r="M12" s="141">
        <f>E9/10+M7</f>
        <v>142.70198390183231</v>
      </c>
      <c r="N12" s="141">
        <f t="shared" ref="N12:U12" si="10">$E$9/10+M$12+N$6</f>
        <v>156.63395071382095</v>
      </c>
      <c r="O12" s="141">
        <f t="shared" si="10"/>
        <v>162.24491020159081</v>
      </c>
      <c r="P12" s="141">
        <f t="shared" si="10"/>
        <v>160.56488580264192</v>
      </c>
      <c r="Q12" s="141">
        <f t="shared" si="10"/>
        <v>124.44781648181805</v>
      </c>
      <c r="R12" s="141">
        <f t="shared" si="10"/>
        <v>120.02274520786921</v>
      </c>
      <c r="S12" s="332">
        <f t="shared" si="10"/>
        <v>84.416693953451613</v>
      </c>
      <c r="T12" s="141">
        <f t="shared" si="10"/>
        <v>24.004676878721455</v>
      </c>
      <c r="U12" s="144">
        <f t="shared" si="10"/>
        <v>-32.496856309289925</v>
      </c>
      <c r="V12" s="141"/>
    </row>
    <row r="13" spans="1:26" ht="45.75" thickBot="1">
      <c r="A13" s="111" t="s">
        <v>13</v>
      </c>
      <c r="B13" s="163">
        <v>384</v>
      </c>
      <c r="C13" s="164">
        <v>391.90909090909088</v>
      </c>
      <c r="D13" s="164">
        <v>399.86363636363626</v>
      </c>
      <c r="E13" s="164">
        <v>409.86363636363626</v>
      </c>
      <c r="F13" s="165">
        <v>420.90909090909076</v>
      </c>
      <c r="H13" s="109" t="s">
        <v>100</v>
      </c>
      <c r="M13" s="268"/>
      <c r="N13" s="141">
        <f>F9/10+N7</f>
        <v>90.926161627702754</v>
      </c>
      <c r="O13" s="140">
        <f t="shared" ref="O13:T13" si="11">$F$9/10+N13+O6</f>
        <v>98.380289075718082</v>
      </c>
      <c r="P13" s="140">
        <f t="shared" si="11"/>
        <v>98.543432637014632</v>
      </c>
      <c r="Q13" s="140">
        <f t="shared" si="11"/>
        <v>64.269531276436197</v>
      </c>
      <c r="R13" s="140">
        <f t="shared" si="11"/>
        <v>61.68762796273279</v>
      </c>
      <c r="S13" s="330">
        <f t="shared" si="11"/>
        <v>27.924744668560635</v>
      </c>
      <c r="T13" s="342">
        <f t="shared" si="11"/>
        <v>-30.644104445924086</v>
      </c>
      <c r="U13" s="345"/>
      <c r="V13" s="140"/>
      <c r="W13" s="140"/>
    </row>
    <row r="14" spans="1:26">
      <c r="A14" s="117"/>
      <c r="B14" s="157"/>
      <c r="C14" s="157"/>
      <c r="D14" s="157"/>
      <c r="E14" s="157"/>
      <c r="F14" s="170"/>
      <c r="M14" s="142"/>
      <c r="N14" s="142"/>
      <c r="S14" s="331"/>
    </row>
    <row r="15" spans="1:26">
      <c r="A15" s="117"/>
      <c r="B15" s="157"/>
      <c r="C15" s="157"/>
      <c r="D15" s="157"/>
      <c r="E15" s="157"/>
      <c r="F15" s="158"/>
      <c r="S15" s="331"/>
    </row>
    <row r="16" spans="1:26" ht="44.25" thickBot="1">
      <c r="A16" s="156" t="s">
        <v>191</v>
      </c>
      <c r="B16" s="271">
        <f>S17</f>
        <v>375.25857495117168</v>
      </c>
      <c r="C16" s="272">
        <f>S18</f>
        <v>329.26243756103497</v>
      </c>
      <c r="D16" s="272">
        <f>S19</f>
        <v>277.36242843750006</v>
      </c>
      <c r="E16" s="272">
        <f>S20</f>
        <v>219.29228690634761</v>
      </c>
      <c r="F16" s="273">
        <f>S21</f>
        <v>155.49885755618749</v>
      </c>
      <c r="G16" s="155"/>
      <c r="S16" s="331"/>
    </row>
    <row r="17" spans="1:24" ht="15.75" thickBot="1">
      <c r="A17" s="146" t="s">
        <v>160</v>
      </c>
      <c r="B17" s="166">
        <f>SUM(B18:B22)</f>
        <v>763.69858032226557</v>
      </c>
      <c r="C17" s="166">
        <f>SUM(C18:C22)</f>
        <v>797.44715881347656</v>
      </c>
      <c r="D17" s="166">
        <f>SUM(D18:D22)</f>
        <v>832.25304226074229</v>
      </c>
      <c r="E17" s="166">
        <f>SUM(E18:E22)</f>
        <v>868.18898896777341</v>
      </c>
      <c r="F17" s="167">
        <f>SUM(F18:F22)</f>
        <v>906.56477154546872</v>
      </c>
      <c r="H17" s="109" t="s">
        <v>161</v>
      </c>
      <c r="J17" s="150">
        <f>$B$17/10+J$7</f>
        <v>212.62385876464845</v>
      </c>
      <c r="K17" s="150">
        <f>$B$17/10+J17+K6</f>
        <v>286.77873144531247</v>
      </c>
      <c r="L17" s="150">
        <f>$B$17/10+K17+L6</f>
        <v>333.69460070800778</v>
      </c>
      <c r="M17" s="150">
        <f t="shared" ref="M17:X17" si="12">$B$17/10+L17+M6</f>
        <v>380.63045898437491</v>
      </c>
      <c r="N17" s="150">
        <f t="shared" si="12"/>
        <v>403.38132678222644</v>
      </c>
      <c r="O17" s="150">
        <f t="shared" si="12"/>
        <v>417.81118725585924</v>
      </c>
      <c r="P17" s="150">
        <f t="shared" si="12"/>
        <v>424.95006384277326</v>
      </c>
      <c r="Q17" s="150">
        <f t="shared" si="12"/>
        <v>397.6518955078123</v>
      </c>
      <c r="R17" s="150">
        <f t="shared" si="12"/>
        <v>402.04572521972636</v>
      </c>
      <c r="S17" s="333">
        <f t="shared" si="12"/>
        <v>375.25857495117168</v>
      </c>
      <c r="T17" s="150">
        <f t="shared" si="12"/>
        <v>323.66545886230443</v>
      </c>
      <c r="U17" s="150">
        <f t="shared" si="12"/>
        <v>275.98282666015598</v>
      </c>
      <c r="V17" s="150">
        <f t="shared" si="12"/>
        <v>217.96566076660127</v>
      </c>
      <c r="W17" s="150">
        <f t="shared" si="12"/>
        <v>149.61396118164032</v>
      </c>
      <c r="X17" s="150">
        <f t="shared" si="12"/>
        <v>70.927727905273116</v>
      </c>
    </row>
    <row r="18" spans="1:24" ht="30.75" thickBot="1">
      <c r="A18" s="110" t="s">
        <v>18</v>
      </c>
      <c r="B18" s="171">
        <v>0</v>
      </c>
      <c r="C18" s="171">
        <v>0</v>
      </c>
      <c r="D18" s="171">
        <v>0</v>
      </c>
      <c r="E18" s="171">
        <v>0</v>
      </c>
      <c r="F18" s="172">
        <v>0</v>
      </c>
      <c r="G18" s="155"/>
      <c r="H18" s="109" t="s">
        <v>162</v>
      </c>
      <c r="K18" s="150">
        <f>$C$17/10+$K7</f>
        <v>213.78373126220703</v>
      </c>
      <c r="L18" s="150">
        <f t="shared" ref="L18:X18" si="13">$C$17/10+K18+L6</f>
        <v>264.07445837402338</v>
      </c>
      <c r="M18" s="150">
        <f t="shared" ref="M18:S18" si="14">$C$17/10+L18+M6</f>
        <v>314.38517449951161</v>
      </c>
      <c r="N18" s="150">
        <f t="shared" si="14"/>
        <v>340.51090014648423</v>
      </c>
      <c r="O18" s="150">
        <f t="shared" si="14"/>
        <v>358.31561846923813</v>
      </c>
      <c r="P18" s="150">
        <f t="shared" si="14"/>
        <v>368.82935290527325</v>
      </c>
      <c r="Q18" s="150">
        <f t="shared" si="14"/>
        <v>344.90604241943339</v>
      </c>
      <c r="R18" s="150">
        <f t="shared" si="14"/>
        <v>352.67472998046856</v>
      </c>
      <c r="S18" s="333">
        <f t="shared" si="14"/>
        <v>329.26243756103497</v>
      </c>
      <c r="T18" s="150">
        <f t="shared" si="13"/>
        <v>281.04417932128882</v>
      </c>
      <c r="U18" s="150">
        <f t="shared" si="13"/>
        <v>236.73640496826147</v>
      </c>
      <c r="V18" s="150">
        <f t="shared" si="13"/>
        <v>182.09409692382786</v>
      </c>
      <c r="W18" s="150">
        <f t="shared" si="13"/>
        <v>117.11725518798801</v>
      </c>
      <c r="X18" s="150">
        <f t="shared" si="13"/>
        <v>41.805879760741902</v>
      </c>
    </row>
    <row r="19" spans="1:24" ht="60.75" thickBot="1">
      <c r="A19" s="110" t="s">
        <v>119</v>
      </c>
      <c r="B19" s="173">
        <v>384</v>
      </c>
      <c r="C19" s="173">
        <v>395.1</v>
      </c>
      <c r="D19" s="173">
        <v>406.625</v>
      </c>
      <c r="E19" s="173">
        <v>420.57499999999999</v>
      </c>
      <c r="F19" s="174">
        <v>435.95</v>
      </c>
      <c r="H19" s="109" t="s">
        <v>163</v>
      </c>
      <c r="J19" s="150"/>
      <c r="K19" s="150"/>
      <c r="L19" s="150">
        <f>$D$17/10+L$7</f>
        <v>187.81033083740235</v>
      </c>
      <c r="M19" s="150">
        <f t="shared" ref="M19:X19" si="15">$D$17/10+L$19+M$6</f>
        <v>241.60163530761716</v>
      </c>
      <c r="N19" s="150">
        <f t="shared" si="15"/>
        <v>271.2079492993164</v>
      </c>
      <c r="O19" s="150">
        <f t="shared" si="15"/>
        <v>292.49325596679688</v>
      </c>
      <c r="P19" s="150">
        <f t="shared" si="15"/>
        <v>306.48757874755859</v>
      </c>
      <c r="Q19" s="150">
        <f t="shared" si="15"/>
        <v>286.04485660644531</v>
      </c>
      <c r="R19" s="150">
        <f t="shared" si="15"/>
        <v>297.29413251220706</v>
      </c>
      <c r="S19" s="333">
        <f t="shared" si="15"/>
        <v>277.36242843750006</v>
      </c>
      <c r="T19" s="150">
        <f t="shared" si="15"/>
        <v>232.62475854248049</v>
      </c>
      <c r="U19" s="150">
        <f t="shared" si="15"/>
        <v>191.79757253417972</v>
      </c>
      <c r="V19" s="150">
        <f t="shared" si="15"/>
        <v>140.6358528344727</v>
      </c>
      <c r="W19" s="150">
        <f t="shared" si="15"/>
        <v>79.13959944335943</v>
      </c>
      <c r="X19" s="150">
        <f t="shared" si="15"/>
        <v>7.3088123608399087</v>
      </c>
    </row>
    <row r="20" spans="1:24" ht="60.75" thickBot="1">
      <c r="A20" s="110" t="s">
        <v>22</v>
      </c>
      <c r="B20" s="161">
        <v>59.7</v>
      </c>
      <c r="C20" s="161">
        <f>1.05*(B20)</f>
        <v>62.685000000000002</v>
      </c>
      <c r="D20" s="161">
        <f>1.05*C20</f>
        <v>65.819250000000011</v>
      </c>
      <c r="E20" s="161">
        <f>1.05*(D20)</f>
        <v>69.110212500000017</v>
      </c>
      <c r="F20" s="162">
        <f>1.05*E20</f>
        <v>72.565723125000019</v>
      </c>
      <c r="H20" s="109" t="s">
        <v>164</v>
      </c>
      <c r="M20" s="150">
        <f>$E$17/10+M$7</f>
        <v>161.96992575224604</v>
      </c>
      <c r="N20" s="150">
        <f t="shared" ref="N20:X20" si="16">$E$17/10+M$20+N$6</f>
        <v>195.16983441464839</v>
      </c>
      <c r="O20" s="150">
        <f>$E$17/10+N$20+O$6</f>
        <v>220.04873575283199</v>
      </c>
      <c r="P20" s="150">
        <f t="shared" si="16"/>
        <v>237.63665320429681</v>
      </c>
      <c r="Q20" s="150">
        <f t="shared" si="16"/>
        <v>220.78752573388664</v>
      </c>
      <c r="R20" s="150">
        <f t="shared" si="16"/>
        <v>235.6303963103515</v>
      </c>
      <c r="S20" s="333">
        <f t="shared" si="16"/>
        <v>219.29228690634761</v>
      </c>
      <c r="T20" s="150">
        <f t="shared" si="16"/>
        <v>178.14821168203116</v>
      </c>
      <c r="U20" s="150">
        <f t="shared" si="16"/>
        <v>140.9146203444335</v>
      </c>
      <c r="V20" s="150">
        <f t="shared" si="16"/>
        <v>93.346495315429593</v>
      </c>
      <c r="W20" s="150">
        <f t="shared" si="16"/>
        <v>35.443836595019434</v>
      </c>
      <c r="X20" s="152">
        <f t="shared" si="16"/>
        <v>-32.793355816796975</v>
      </c>
    </row>
    <row r="21" spans="1:24" ht="15.75" thickBot="1">
      <c r="A21" s="112" t="s">
        <v>120</v>
      </c>
      <c r="B21" s="173">
        <f>ABS(J4*0.06+K4*0.06+L4*0.06+M4*0.06+N4*0.06+O4*0.06+P4*0.06+Q4*0.06+R4*0.06+S4*0.06)</f>
        <v>285.99858032226558</v>
      </c>
      <c r="C21" s="173">
        <f>ABS(K4*0.06+L4*0.06+M4*0.06+N4*0.06+O4*0.06+P4*0.06+Q4*0.06+R4*0.06+S4*0.06+T4*0.06)</f>
        <v>304.98215881347659</v>
      </c>
      <c r="D21" s="173">
        <f>ABS(L4*0.06+M4*0.06+N4*0.06+O4*0.06+P4*0.06+Q4*0.06+R4*0.06+S4*0.06+T4*0.06+U4*0.06)</f>
        <v>324.43519226074221</v>
      </c>
      <c r="E21" s="173">
        <f>ABS(M4*0.06+N4*0.06+O4*0.06+P4*0.06+Q4*0.06+R4*0.06+S4*0.06+T4*0.06+U4*0.06+V4*0.06)</f>
        <v>342.42270446777343</v>
      </c>
      <c r="F21" s="174">
        <f>ABS(N4*0.06+O4*0.06+P4*0.06+Q4*0.06+R4*0.06+S4*0.06+T4*0.06+U4*0.06+V4*0.06+W4*0.06)</f>
        <v>361.24635498046871</v>
      </c>
      <c r="H21" s="109" t="s">
        <v>165</v>
      </c>
      <c r="J21" s="150"/>
      <c r="K21" s="150"/>
      <c r="L21" s="150"/>
      <c r="M21" s="150"/>
      <c r="N21" s="150">
        <f>$F$17/10+N$7</f>
        <v>112.18851377564056</v>
      </c>
      <c r="O21" s="150">
        <f t="shared" ref="O21:X21" si="17">$F$17/10+N$21+O$6</f>
        <v>140.90499337159369</v>
      </c>
      <c r="P21" s="150">
        <f t="shared" si="17"/>
        <v>162.33048908082804</v>
      </c>
      <c r="Q21" s="150">
        <f t="shared" si="17"/>
        <v>149.31893986818741</v>
      </c>
      <c r="R21" s="150">
        <f t="shared" si="17"/>
        <v>167.99938870242181</v>
      </c>
      <c r="S21" s="333">
        <f t="shared" si="17"/>
        <v>155.49885755618749</v>
      </c>
      <c r="T21" s="150">
        <f t="shared" si="17"/>
        <v>118.19236058964057</v>
      </c>
      <c r="U21" s="150">
        <f t="shared" si="17"/>
        <v>84.796347509812449</v>
      </c>
      <c r="V21" s="150">
        <f t="shared" si="17"/>
        <v>41.065800738578076</v>
      </c>
      <c r="W21" s="152">
        <f t="shared" si="17"/>
        <v>-12.999279724062546</v>
      </c>
      <c r="X21" s="150">
        <f t="shared" si="17"/>
        <v>-77.398893878109419</v>
      </c>
    </row>
    <row r="22" spans="1:24" ht="15.75" thickBot="1">
      <c r="A22" s="112" t="s">
        <v>25</v>
      </c>
      <c r="B22" s="175">
        <v>34</v>
      </c>
      <c r="C22" s="175">
        <f>B22*1.02</f>
        <v>34.68</v>
      </c>
      <c r="D22" s="175">
        <f t="shared" ref="D22:F22" si="18">C22*1.02</f>
        <v>35.373600000000003</v>
      </c>
      <c r="E22" s="175">
        <f t="shared" si="18"/>
        <v>36.081072000000006</v>
      </c>
      <c r="F22" s="175">
        <f t="shared" si="18"/>
        <v>36.802693440000006</v>
      </c>
      <c r="G22" s="155"/>
      <c r="J22" s="150"/>
      <c r="K22" s="150"/>
      <c r="L22" s="150"/>
      <c r="M22" s="150"/>
      <c r="N22" s="150"/>
      <c r="S22" s="331"/>
    </row>
    <row r="23" spans="1:24">
      <c r="A23" s="117"/>
      <c r="B23" s="157"/>
      <c r="C23" s="157"/>
      <c r="D23" s="157"/>
      <c r="E23" s="157"/>
      <c r="F23" s="158"/>
      <c r="S23" s="331"/>
    </row>
    <row r="24" spans="1:24" ht="43.5" thickBot="1">
      <c r="A24" s="327" t="s">
        <v>169</v>
      </c>
      <c r="B24" s="271">
        <f>S25</f>
        <v>303.55999462890611</v>
      </c>
      <c r="C24" s="272">
        <f>S26</f>
        <v>284.85899462890637</v>
      </c>
      <c r="D24" s="272">
        <f>S27</f>
        <v>257.35063462890633</v>
      </c>
      <c r="E24" s="272">
        <f>S30</f>
        <v>220.83121592890615</v>
      </c>
      <c r="F24" s="272">
        <f>S33</f>
        <v>172.89605941090616</v>
      </c>
      <c r="S24" s="331"/>
    </row>
    <row r="25" spans="1:24" ht="15.75" thickBot="1">
      <c r="A25" s="146" t="s">
        <v>160</v>
      </c>
      <c r="B25" s="166">
        <f>SUM(B26:B33)</f>
        <v>692</v>
      </c>
      <c r="C25" s="166">
        <f>SUM(C26:C33)</f>
        <v>748.11</v>
      </c>
      <c r="D25" s="166">
        <f>SUM(D26:D33)</f>
        <v>807.23829999999998</v>
      </c>
      <c r="E25" s="166">
        <f>SUM(E26:E33)</f>
        <v>870.38745900000004</v>
      </c>
      <c r="F25" s="167">
        <f>SUM(F26:F33)</f>
        <v>935.56010796999999</v>
      </c>
      <c r="H25" s="109" t="s">
        <v>115</v>
      </c>
      <c r="J25" s="149">
        <f>$B$25/10+J$7</f>
        <v>205.45400073242189</v>
      </c>
      <c r="K25" s="149">
        <f t="shared" ref="K25:X25" si="19">$B$25/10+J25+K6</f>
        <v>272.43901538085936</v>
      </c>
      <c r="L25" s="149">
        <f t="shared" si="19"/>
        <v>312.18502661132811</v>
      </c>
      <c r="M25" s="149">
        <f t="shared" si="19"/>
        <v>351.95102685546868</v>
      </c>
      <c r="N25" s="149">
        <f t="shared" si="19"/>
        <v>367.53203662109365</v>
      </c>
      <c r="O25" s="149">
        <f t="shared" si="19"/>
        <v>374.7920390624999</v>
      </c>
      <c r="P25" s="149">
        <f t="shared" si="19"/>
        <v>374.76105761718736</v>
      </c>
      <c r="Q25" s="183">
        <f t="shared" si="19"/>
        <v>340.29303124999984</v>
      </c>
      <c r="R25" s="149">
        <f>$B$25/10+Q25+R6</f>
        <v>337.51700292968735</v>
      </c>
      <c r="S25" s="334">
        <f t="shared" si="19"/>
        <v>303.55999462890611</v>
      </c>
      <c r="T25" s="183">
        <f t="shared" si="19"/>
        <v>244.79702050781231</v>
      </c>
      <c r="U25" s="149">
        <f t="shared" si="19"/>
        <v>189.94453027343729</v>
      </c>
      <c r="V25" s="149">
        <f>$B$25/10+U25+V6</f>
        <v>124.75750634765603</v>
      </c>
      <c r="W25" s="183">
        <f>$B$25/10+V25+W6</f>
        <v>49.235948730468522</v>
      </c>
      <c r="X25" s="184">
        <f t="shared" si="19"/>
        <v>-36.620142578125225</v>
      </c>
    </row>
    <row r="26" spans="1:24" ht="45.75" thickBot="1">
      <c r="A26" s="110" t="s">
        <v>28</v>
      </c>
      <c r="B26" s="168">
        <v>384</v>
      </c>
      <c r="C26" s="168">
        <v>395.1</v>
      </c>
      <c r="D26" s="168">
        <v>406.625</v>
      </c>
      <c r="E26" s="168">
        <v>420.57499999999999</v>
      </c>
      <c r="F26" s="169">
        <v>435.95</v>
      </c>
      <c r="H26" s="109" t="s">
        <v>112</v>
      </c>
      <c r="J26" s="149" t="s">
        <v>88</v>
      </c>
      <c r="K26" s="149">
        <f>$C$25/10+K$7</f>
        <v>208.85001538085939</v>
      </c>
      <c r="L26" s="149">
        <f t="shared" ref="L26:X26" si="20">$C$25/10+K26+L6</f>
        <v>254.20702661132813</v>
      </c>
      <c r="M26" s="149">
        <f t="shared" si="20"/>
        <v>299.58402685546872</v>
      </c>
      <c r="N26" s="149">
        <f t="shared" si="20"/>
        <v>320.77603662109368</v>
      </c>
      <c r="O26" s="149">
        <f t="shared" si="20"/>
        <v>333.64703906249997</v>
      </c>
      <c r="P26" s="149">
        <f t="shared" si="20"/>
        <v>339.22705761718748</v>
      </c>
      <c r="Q26" s="183">
        <f t="shared" si="20"/>
        <v>310.37003125000001</v>
      </c>
      <c r="R26" s="149">
        <f>$C$25/10+Q26+R6</f>
        <v>313.20500292968757</v>
      </c>
      <c r="S26" s="334">
        <f t="shared" si="20"/>
        <v>284.85899462890637</v>
      </c>
      <c r="T26" s="183">
        <f t="shared" si="20"/>
        <v>231.70702050781256</v>
      </c>
      <c r="U26" s="149">
        <f t="shared" si="20"/>
        <v>182.46553027343759</v>
      </c>
      <c r="V26" s="149">
        <f t="shared" si="20"/>
        <v>122.88950634765638</v>
      </c>
      <c r="W26" s="183">
        <f t="shared" si="20"/>
        <v>52.978948730468886</v>
      </c>
      <c r="X26" s="184">
        <f t="shared" si="20"/>
        <v>-27.266142578124857</v>
      </c>
    </row>
    <row r="27" spans="1:24" ht="30.75" thickBot="1">
      <c r="A27" s="110" t="s">
        <v>30</v>
      </c>
      <c r="B27" s="173">
        <v>77</v>
      </c>
      <c r="C27" s="173">
        <f>1.03*(B27)</f>
        <v>79.31</v>
      </c>
      <c r="D27" s="173">
        <f>1.03*(C27)</f>
        <v>81.689300000000003</v>
      </c>
      <c r="E27" s="173">
        <f>1.03*(D27)</f>
        <v>84.139979000000011</v>
      </c>
      <c r="F27" s="174">
        <f>1.03*(E27)</f>
        <v>86.664178370000016</v>
      </c>
      <c r="H27" s="109" t="s">
        <v>113</v>
      </c>
      <c r="J27" s="148"/>
      <c r="K27" s="149"/>
      <c r="L27" s="149">
        <f>$D$25/10+L$7</f>
        <v>185.30885661132811</v>
      </c>
      <c r="M27" s="149">
        <f t="shared" ref="M27:X27" si="21">$D$25/10+L$27+M$6</f>
        <v>236.59868685546874</v>
      </c>
      <c r="N27" s="149">
        <f t="shared" si="21"/>
        <v>263.70352662109372</v>
      </c>
      <c r="O27" s="149">
        <f t="shared" si="21"/>
        <v>282.48735906249999</v>
      </c>
      <c r="P27" s="183">
        <f t="shared" si="21"/>
        <v>293.98020761718749</v>
      </c>
      <c r="Q27" s="149">
        <f t="shared" si="21"/>
        <v>271.03601125</v>
      </c>
      <c r="R27" s="149">
        <f t="shared" si="21"/>
        <v>279.78381292968754</v>
      </c>
      <c r="S27" s="334">
        <f t="shared" si="21"/>
        <v>257.35063462890633</v>
      </c>
      <c r="T27" s="183">
        <f t="shared" si="21"/>
        <v>210.1114905078125</v>
      </c>
      <c r="U27" s="149">
        <f t="shared" si="21"/>
        <v>166.78283027343753</v>
      </c>
      <c r="V27" s="149">
        <f t="shared" si="21"/>
        <v>113.11963634765627</v>
      </c>
      <c r="W27" s="183">
        <f t="shared" si="21"/>
        <v>49.12190873046876</v>
      </c>
      <c r="X27" s="184">
        <f t="shared" si="21"/>
        <v>-25.210352578124997</v>
      </c>
    </row>
    <row r="28" spans="1:24" ht="60.75" hidden="1" thickBot="1">
      <c r="A28" s="113" t="s">
        <v>32</v>
      </c>
      <c r="B28" s="176">
        <v>0</v>
      </c>
      <c r="C28" s="176">
        <v>0</v>
      </c>
      <c r="D28" s="176">
        <v>0</v>
      </c>
      <c r="E28" s="176">
        <v>0</v>
      </c>
      <c r="F28" s="177">
        <v>0</v>
      </c>
      <c r="J28" s="148"/>
      <c r="K28" s="148"/>
      <c r="L28" s="148"/>
      <c r="M28" s="148"/>
      <c r="N28" s="148"/>
      <c r="O28" s="148"/>
      <c r="P28" s="148"/>
      <c r="Q28" s="148"/>
      <c r="R28" s="148"/>
      <c r="S28" s="335"/>
      <c r="T28" s="148"/>
      <c r="U28" s="148"/>
      <c r="V28" s="148"/>
      <c r="W28" s="148"/>
      <c r="X28" s="346"/>
    </row>
    <row r="29" spans="1:24" ht="30.75" hidden="1" thickBot="1">
      <c r="A29" s="110" t="s">
        <v>34</v>
      </c>
      <c r="B29" s="176">
        <v>0</v>
      </c>
      <c r="C29" s="176">
        <v>0</v>
      </c>
      <c r="D29" s="176">
        <v>0</v>
      </c>
      <c r="E29" s="176">
        <v>0</v>
      </c>
      <c r="F29" s="177">
        <v>0</v>
      </c>
      <c r="J29" s="148"/>
      <c r="K29" s="148"/>
      <c r="L29" s="148"/>
      <c r="M29" s="148"/>
      <c r="N29" s="148"/>
      <c r="O29" s="148"/>
      <c r="P29" s="148"/>
      <c r="Q29" s="148"/>
      <c r="R29" s="148"/>
      <c r="S29" s="335"/>
      <c r="T29" s="148"/>
      <c r="U29" s="148"/>
      <c r="V29" s="148"/>
      <c r="W29" s="148"/>
      <c r="X29" s="346"/>
    </row>
    <row r="30" spans="1:24" ht="15.75" thickBot="1">
      <c r="A30" s="110" t="s">
        <v>35</v>
      </c>
      <c r="B30" s="161">
        <v>60</v>
      </c>
      <c r="C30" s="161">
        <f>1.02*(B30)</f>
        <v>61.2</v>
      </c>
      <c r="D30" s="161">
        <f>1.02*(C30)</f>
        <v>62.424000000000007</v>
      </c>
      <c r="E30" s="161">
        <f>1.02*(D30)</f>
        <v>63.672480000000007</v>
      </c>
      <c r="F30" s="162">
        <f>1.02*(E30)</f>
        <v>64.945929600000014</v>
      </c>
      <c r="H30" s="109" t="s">
        <v>114</v>
      </c>
      <c r="J30" s="148"/>
      <c r="K30" s="148"/>
      <c r="L30" s="148"/>
      <c r="M30" s="149">
        <f>$E$25/10+M$7</f>
        <v>162.18977275546871</v>
      </c>
      <c r="N30" s="183">
        <f t="shared" ref="N30:X30" si="22">$E$25/10+M$30+N$6</f>
        <v>195.60952842109373</v>
      </c>
      <c r="O30" s="149">
        <f t="shared" si="22"/>
        <v>220.70827676249996</v>
      </c>
      <c r="P30" s="149">
        <f t="shared" si="22"/>
        <v>238.51604121718742</v>
      </c>
      <c r="Q30" s="149">
        <f t="shared" si="22"/>
        <v>221.88676074999989</v>
      </c>
      <c r="R30" s="149">
        <f t="shared" si="22"/>
        <v>236.94947832968739</v>
      </c>
      <c r="S30" s="334">
        <f t="shared" si="22"/>
        <v>220.83121592890615</v>
      </c>
      <c r="T30" s="183">
        <f t="shared" si="22"/>
        <v>179.90698770781239</v>
      </c>
      <c r="U30" s="149">
        <f t="shared" si="22"/>
        <v>142.89324337343737</v>
      </c>
      <c r="V30" s="149">
        <f t="shared" si="22"/>
        <v>95.544965347656131</v>
      </c>
      <c r="W30" s="183">
        <f t="shared" si="22"/>
        <v>37.86215363046864</v>
      </c>
      <c r="X30" s="184">
        <f t="shared" si="22"/>
        <v>-30.155191778125101</v>
      </c>
    </row>
    <row r="31" spans="1:24" ht="30.75" hidden="1" thickBot="1">
      <c r="A31" s="110" t="s">
        <v>38</v>
      </c>
      <c r="B31" s="176">
        <v>0</v>
      </c>
      <c r="C31" s="176">
        <v>0</v>
      </c>
      <c r="D31" s="176">
        <v>0</v>
      </c>
      <c r="E31" s="176">
        <v>0</v>
      </c>
      <c r="F31" s="177">
        <v>0</v>
      </c>
      <c r="H31" s="109" t="s">
        <v>105</v>
      </c>
      <c r="J31" s="148"/>
      <c r="K31" s="148"/>
      <c r="L31" s="148"/>
      <c r="M31" s="148"/>
      <c r="N31" s="148"/>
      <c r="O31" s="148"/>
      <c r="P31" s="148"/>
      <c r="Q31" s="148"/>
      <c r="R31" s="148"/>
      <c r="S31" s="335"/>
      <c r="T31" s="148"/>
      <c r="U31" s="148"/>
      <c r="V31" s="148"/>
      <c r="W31" s="148"/>
      <c r="X31" s="346"/>
    </row>
    <row r="32" spans="1:24" ht="30.75" hidden="1" thickBot="1">
      <c r="A32" s="110" t="s">
        <v>40</v>
      </c>
      <c r="B32" s="176">
        <v>0</v>
      </c>
      <c r="C32" s="176">
        <v>0</v>
      </c>
      <c r="D32" s="176">
        <v>0</v>
      </c>
      <c r="E32" s="176">
        <v>0</v>
      </c>
      <c r="F32" s="177">
        <v>0</v>
      </c>
      <c r="H32" s="109" t="s">
        <v>106</v>
      </c>
      <c r="J32" s="148"/>
      <c r="K32" s="148"/>
      <c r="L32" s="148"/>
      <c r="M32" s="148"/>
      <c r="N32" s="148"/>
      <c r="O32" s="148"/>
      <c r="P32" s="148"/>
      <c r="Q32" s="148"/>
      <c r="R32" s="148"/>
      <c r="S32" s="335"/>
      <c r="T32" s="148"/>
      <c r="U32" s="148"/>
      <c r="V32" s="148"/>
      <c r="W32" s="148"/>
      <c r="X32" s="346"/>
    </row>
    <row r="33" spans="1:24" ht="45.75" thickBot="1">
      <c r="A33" s="110" t="s">
        <v>43</v>
      </c>
      <c r="B33" s="173">
        <f>Calculations!D12</f>
        <v>171</v>
      </c>
      <c r="C33" s="186">
        <f>Calculations!E12</f>
        <v>212.5</v>
      </c>
      <c r="D33" s="186">
        <f>Calculations!F12</f>
        <v>256.5</v>
      </c>
      <c r="E33" s="186">
        <f>Calculations!G12</f>
        <v>302</v>
      </c>
      <c r="F33" s="185">
        <f>Calculations!H12</f>
        <v>348</v>
      </c>
      <c r="H33" s="109" t="s">
        <v>115</v>
      </c>
      <c r="J33" s="148"/>
      <c r="K33" s="148"/>
      <c r="L33" s="148"/>
      <c r="M33" s="183"/>
      <c r="N33" s="149">
        <f>$F$25/10+N$7</f>
        <v>115.08804741809368</v>
      </c>
      <c r="O33" s="149">
        <f t="shared" ref="O33:X33" si="23">$F$25/10+N$33+O$6</f>
        <v>146.70406065649993</v>
      </c>
      <c r="P33" s="149">
        <f t="shared" si="23"/>
        <v>171.02909000818741</v>
      </c>
      <c r="Q33" s="149">
        <f t="shared" si="23"/>
        <v>160.91707443799987</v>
      </c>
      <c r="R33" s="149">
        <f t="shared" si="23"/>
        <v>182.49705691468739</v>
      </c>
      <c r="S33" s="334">
        <f t="shared" si="23"/>
        <v>172.89605941090616</v>
      </c>
      <c r="T33" s="149">
        <f t="shared" si="23"/>
        <v>138.48909608681237</v>
      </c>
      <c r="U33" s="149">
        <f t="shared" si="23"/>
        <v>107.99261664943737</v>
      </c>
      <c r="V33" s="149">
        <f t="shared" si="23"/>
        <v>67.161603520656115</v>
      </c>
      <c r="W33" s="183">
        <f t="shared" si="23"/>
        <v>15.996056700468614</v>
      </c>
      <c r="X33" s="184">
        <f t="shared" si="23"/>
        <v>-45.504023811125137</v>
      </c>
    </row>
    <row r="34" spans="1:24">
      <c r="A34" s="117"/>
      <c r="B34" s="157"/>
      <c r="C34" s="157"/>
      <c r="D34" s="157"/>
      <c r="E34" s="157"/>
      <c r="F34" s="158"/>
      <c r="S34" s="331"/>
    </row>
    <row r="35" spans="1:24" ht="30" thickBot="1">
      <c r="A35" s="156" t="s">
        <v>170</v>
      </c>
      <c r="B35" s="271">
        <f>S36</f>
        <v>486.55999462890617</v>
      </c>
      <c r="C35" s="272">
        <f>S37</f>
        <v>457.28399462890621</v>
      </c>
      <c r="D35" s="272">
        <f>S38</f>
        <v>394.7309037198151</v>
      </c>
      <c r="E35" s="272">
        <f>S39</f>
        <v>325.35763099254319</v>
      </c>
      <c r="F35" s="272">
        <f>S40</f>
        <v>248.72108553799615</v>
      </c>
      <c r="S35" s="331"/>
    </row>
    <row r="36" spans="1:24" ht="15.75" thickBot="1">
      <c r="A36" s="146" t="s">
        <v>160</v>
      </c>
      <c r="B36" s="166">
        <f>B37</f>
        <v>875</v>
      </c>
      <c r="C36" s="166">
        <f>C37</f>
        <v>939.69333333333304</v>
      </c>
      <c r="D36" s="166">
        <f>D37</f>
        <v>978.96363636363606</v>
      </c>
      <c r="E36" s="166">
        <f>E37</f>
        <v>1019.71090909091</v>
      </c>
      <c r="F36" s="167">
        <f>F37</f>
        <v>1061.93515151515</v>
      </c>
      <c r="H36" s="109" t="s">
        <v>166</v>
      </c>
      <c r="J36" s="149">
        <f>$B$36/10+J$7</f>
        <v>223.7540007324219</v>
      </c>
      <c r="K36" s="149">
        <f t="shared" ref="K36:X36" si="24">$B$36/10+J36+K6</f>
        <v>309.03901538085938</v>
      </c>
      <c r="L36" s="149">
        <f t="shared" si="24"/>
        <v>367.08502661132809</v>
      </c>
      <c r="M36" s="149">
        <f t="shared" si="24"/>
        <v>425.15102685546867</v>
      </c>
      <c r="N36" s="149">
        <f t="shared" si="24"/>
        <v>459.03203662109365</v>
      </c>
      <c r="O36" s="149">
        <f t="shared" si="24"/>
        <v>484.59203906249991</v>
      </c>
      <c r="P36" s="149">
        <f t="shared" si="24"/>
        <v>502.86105761718738</v>
      </c>
      <c r="Q36" s="149">
        <f t="shared" si="24"/>
        <v>486.69303124999988</v>
      </c>
      <c r="R36" s="149">
        <f t="shared" si="24"/>
        <v>502.2170029296874</v>
      </c>
      <c r="S36" s="334">
        <f t="shared" si="24"/>
        <v>486.55999462890617</v>
      </c>
      <c r="T36" s="149">
        <f t="shared" si="24"/>
        <v>446.09702050781243</v>
      </c>
      <c r="U36" s="149">
        <f t="shared" si="24"/>
        <v>409.54453027343743</v>
      </c>
      <c r="V36" s="149">
        <f t="shared" si="24"/>
        <v>362.65750634765618</v>
      </c>
      <c r="W36" s="149">
        <f t="shared" si="24"/>
        <v>305.43594873046868</v>
      </c>
      <c r="X36" s="149">
        <f t="shared" si="24"/>
        <v>237.87985742187493</v>
      </c>
    </row>
    <row r="37" spans="1:24" ht="45.75" thickBot="1">
      <c r="A37" s="110" t="s">
        <v>117</v>
      </c>
      <c r="B37" s="178">
        <v>875</v>
      </c>
      <c r="C37" s="178">
        <v>939.69333333333304</v>
      </c>
      <c r="D37" s="178">
        <v>978.96363636363606</v>
      </c>
      <c r="E37" s="178">
        <v>1019.71090909091</v>
      </c>
      <c r="F37" s="179">
        <v>1061.93515151515</v>
      </c>
      <c r="H37" s="109" t="s">
        <v>101</v>
      </c>
      <c r="J37" s="148" t="s">
        <v>88</v>
      </c>
      <c r="K37" s="149">
        <f>$C$36/10+K$7</f>
        <v>228.00834871419269</v>
      </c>
      <c r="L37" s="149">
        <f t="shared" ref="L37:X37" si="25">$C$36/10+K37+L6</f>
        <v>292.52369327799477</v>
      </c>
      <c r="M37" s="149">
        <f t="shared" si="25"/>
        <v>357.05902685546869</v>
      </c>
      <c r="N37" s="149">
        <f t="shared" si="25"/>
        <v>397.40936995442701</v>
      </c>
      <c r="O37" s="149">
        <f t="shared" si="25"/>
        <v>429.4387057291666</v>
      </c>
      <c r="P37" s="149">
        <f t="shared" si="25"/>
        <v>454.17705761718742</v>
      </c>
      <c r="Q37" s="149">
        <f t="shared" si="25"/>
        <v>444.47836458333325</v>
      </c>
      <c r="R37" s="149">
        <f t="shared" si="25"/>
        <v>466.4716695963541</v>
      </c>
      <c r="S37" s="334">
        <f t="shared" si="25"/>
        <v>457.28399462890621</v>
      </c>
      <c r="T37" s="149">
        <f t="shared" si="25"/>
        <v>423.2903538411457</v>
      </c>
      <c r="U37" s="149">
        <f t="shared" si="25"/>
        <v>393.20719694010404</v>
      </c>
      <c r="V37" s="149">
        <f t="shared" si="25"/>
        <v>352.78950634765613</v>
      </c>
      <c r="W37" s="149">
        <f t="shared" si="25"/>
        <v>302.03728206380197</v>
      </c>
      <c r="X37" s="149">
        <f t="shared" si="25"/>
        <v>240.95052408854156</v>
      </c>
    </row>
    <row r="38" spans="1:24">
      <c r="A38" s="114"/>
      <c r="B38" s="157"/>
      <c r="C38" s="157"/>
      <c r="D38" s="157"/>
      <c r="E38" s="157"/>
      <c r="F38" s="158"/>
      <c r="H38" s="109" t="s">
        <v>102</v>
      </c>
      <c r="J38" s="148"/>
      <c r="K38" s="148"/>
      <c r="L38" s="149">
        <f>$D$36/10+L$7</f>
        <v>202.48139024769171</v>
      </c>
      <c r="M38" s="149">
        <f t="shared" ref="M38:X38" si="26">$D$36/10+L$38+M$6</f>
        <v>270.94375412819591</v>
      </c>
      <c r="N38" s="149">
        <f t="shared" si="26"/>
        <v>315.2211275301845</v>
      </c>
      <c r="O38" s="149">
        <f t="shared" si="26"/>
        <v>351.17749360795437</v>
      </c>
      <c r="P38" s="149">
        <f t="shared" si="26"/>
        <v>379.84287579900547</v>
      </c>
      <c r="Q38" s="149">
        <f t="shared" si="26"/>
        <v>374.07121306818158</v>
      </c>
      <c r="R38" s="149">
        <f t="shared" si="26"/>
        <v>399.99154838423271</v>
      </c>
      <c r="S38" s="334">
        <f t="shared" si="26"/>
        <v>394.7309037198151</v>
      </c>
      <c r="T38" s="149">
        <f t="shared" si="26"/>
        <v>364.66429323508493</v>
      </c>
      <c r="U38" s="149">
        <f t="shared" si="26"/>
        <v>338.50816663707354</v>
      </c>
      <c r="V38" s="149">
        <f t="shared" si="26"/>
        <v>302.01750634765591</v>
      </c>
      <c r="W38" s="149">
        <f t="shared" si="26"/>
        <v>255.19231236683203</v>
      </c>
      <c r="X38" s="149">
        <f t="shared" si="26"/>
        <v>198.03258469460189</v>
      </c>
    </row>
    <row r="39" spans="1:24">
      <c r="A39" s="114"/>
      <c r="B39" s="157"/>
      <c r="C39" s="157"/>
      <c r="D39" s="157"/>
      <c r="E39" s="157"/>
      <c r="F39" s="158"/>
      <c r="H39" s="109" t="s">
        <v>103</v>
      </c>
      <c r="J39" s="148"/>
      <c r="K39" s="148"/>
      <c r="L39" s="148"/>
      <c r="M39" s="149">
        <f>$E$36/10+M$7</f>
        <v>177.1221177645597</v>
      </c>
      <c r="N39" s="149">
        <f t="shared" ref="N39:X39" si="27">$E$36/10+M$39+N$6</f>
        <v>225.47421843927569</v>
      </c>
      <c r="O39" s="149">
        <f t="shared" si="27"/>
        <v>265.50531178977292</v>
      </c>
      <c r="P39" s="149">
        <f t="shared" si="27"/>
        <v>298.2454212535514</v>
      </c>
      <c r="Q39" s="149">
        <f t="shared" si="27"/>
        <v>296.54848579545489</v>
      </c>
      <c r="R39" s="149">
        <f t="shared" si="27"/>
        <v>326.54354838423342</v>
      </c>
      <c r="S39" s="334">
        <f t="shared" si="27"/>
        <v>325.35763099254319</v>
      </c>
      <c r="T39" s="149">
        <f t="shared" si="27"/>
        <v>299.3657477805404</v>
      </c>
      <c r="U39" s="149">
        <f t="shared" si="27"/>
        <v>277.28434845525641</v>
      </c>
      <c r="V39" s="149">
        <f t="shared" si="27"/>
        <v>244.86841543856616</v>
      </c>
      <c r="W39" s="149">
        <f t="shared" si="27"/>
        <v>202.11794873046966</v>
      </c>
      <c r="X39" s="149">
        <f t="shared" si="27"/>
        <v>149.03294833096692</v>
      </c>
    </row>
    <row r="40" spans="1:24">
      <c r="A40" s="114"/>
      <c r="B40" s="157"/>
      <c r="C40" s="157"/>
      <c r="D40" s="157"/>
      <c r="E40" s="157"/>
      <c r="F40" s="158"/>
      <c r="H40" s="109" t="s">
        <v>104</v>
      </c>
      <c r="J40" s="148"/>
      <c r="K40" s="148"/>
      <c r="L40" s="148"/>
      <c r="M40" s="149"/>
      <c r="N40" s="149">
        <f>$F$36/10+N$7</f>
        <v>127.72555177260868</v>
      </c>
      <c r="O40" s="149">
        <f t="shared" ref="O40:X40" si="28">$F$36/10+N$40+O$6</f>
        <v>171.97906936552994</v>
      </c>
      <c r="P40" s="149">
        <f t="shared" si="28"/>
        <v>208.9416030717324</v>
      </c>
      <c r="Q40" s="149">
        <f t="shared" si="28"/>
        <v>211.46709185605988</v>
      </c>
      <c r="R40" s="149">
        <f t="shared" si="28"/>
        <v>245.68457868726239</v>
      </c>
      <c r="S40" s="334">
        <f t="shared" si="28"/>
        <v>248.72108553799615</v>
      </c>
      <c r="T40" s="149">
        <f t="shared" si="28"/>
        <v>226.95162656841734</v>
      </c>
      <c r="U40" s="149">
        <f t="shared" si="28"/>
        <v>209.09265148555733</v>
      </c>
      <c r="V40" s="149">
        <f t="shared" si="28"/>
        <v>180.89914271129106</v>
      </c>
      <c r="W40" s="149">
        <f t="shared" si="28"/>
        <v>142.37110024561855</v>
      </c>
      <c r="X40" s="183">
        <f t="shared" si="28"/>
        <v>93.508524088539787</v>
      </c>
    </row>
    <row r="41" spans="1:24">
      <c r="A41" s="114"/>
      <c r="B41" s="157"/>
      <c r="C41" s="157"/>
      <c r="D41" s="157"/>
      <c r="E41" s="157"/>
      <c r="F41" s="158"/>
      <c r="S41" s="331"/>
    </row>
    <row r="42" spans="1:24" ht="30" thickBot="1">
      <c r="A42" s="156" t="s">
        <v>171</v>
      </c>
      <c r="B42" s="269">
        <f>S43</f>
        <v>-115.36907763853505</v>
      </c>
      <c r="C42" s="270">
        <f>S44</f>
        <v>-138.2682512580993</v>
      </c>
      <c r="D42" s="270">
        <f>S45</f>
        <v>-154.99826406648273</v>
      </c>
      <c r="E42" s="270">
        <f>S46</f>
        <v>-170.83945881595565</v>
      </c>
      <c r="F42" s="270">
        <f>S47</f>
        <v>-193.92435373215932</v>
      </c>
      <c r="S42" s="331"/>
    </row>
    <row r="43" spans="1:24" ht="15.75" thickBot="1">
      <c r="A43" s="146" t="s">
        <v>160</v>
      </c>
      <c r="B43" s="180">
        <f>B44</f>
        <v>273.07092773255863</v>
      </c>
      <c r="C43" s="166">
        <f>C44</f>
        <v>277.96861568110489</v>
      </c>
      <c r="D43" s="166">
        <f>D44</f>
        <v>291.80217663076382</v>
      </c>
      <c r="E43" s="166">
        <f>E44</f>
        <v>310.85792365019734</v>
      </c>
      <c r="F43" s="167">
        <f>F44</f>
        <v>324.19275273155745</v>
      </c>
      <c r="H43" s="148" t="s">
        <v>107</v>
      </c>
      <c r="J43" s="150">
        <f>$B$43/10+J$7</f>
        <v>163.56109350567777</v>
      </c>
      <c r="K43" s="150">
        <f t="shared" ref="K43:S43" si="29">$B$43/10+J43+K$6</f>
        <v>188.65320092737113</v>
      </c>
      <c r="L43" s="150">
        <f t="shared" si="29"/>
        <v>186.50630493109574</v>
      </c>
      <c r="M43" s="150">
        <f t="shared" si="29"/>
        <v>184.37939794849223</v>
      </c>
      <c r="N43" s="150">
        <f t="shared" si="29"/>
        <v>158.06750048737311</v>
      </c>
      <c r="O43" s="150">
        <f>$B$43/10+N43+O$6</f>
        <v>123.43459570203524</v>
      </c>
      <c r="P43" s="150">
        <f t="shared" si="29"/>
        <v>81.51070702997859</v>
      </c>
      <c r="Q43" s="150">
        <f t="shared" si="29"/>
        <v>5.1497734360469423</v>
      </c>
      <c r="R43" s="152">
        <f t="shared" si="29"/>
        <v>-39.519162111009678</v>
      </c>
      <c r="S43" s="333">
        <f t="shared" si="29"/>
        <v>-115.36907763853505</v>
      </c>
      <c r="T43" s="151"/>
      <c r="U43" s="151"/>
      <c r="V43" s="151"/>
      <c r="W43" s="151"/>
    </row>
    <row r="44" spans="1:24" ht="75.75" thickBot="1">
      <c r="A44" s="113" t="s">
        <v>45</v>
      </c>
      <c r="B44" s="135">
        <v>273.07092773255863</v>
      </c>
      <c r="C44" s="135">
        <v>277.96861568110489</v>
      </c>
      <c r="D44" s="135">
        <v>291.80217663076382</v>
      </c>
      <c r="E44" s="135">
        <v>310.85792365019734</v>
      </c>
      <c r="F44" s="136">
        <v>324.19275273155745</v>
      </c>
      <c r="H44" s="148" t="s">
        <v>108</v>
      </c>
      <c r="J44" s="151"/>
      <c r="K44" s="150">
        <f>$C$43/10+K$7</f>
        <v>161.83587694896988</v>
      </c>
      <c r="L44" s="150">
        <f t="shared" ref="L44:S44" si="30">$C$43/10+K44+L$6</f>
        <v>160.17874974754912</v>
      </c>
      <c r="M44" s="150">
        <f t="shared" si="30"/>
        <v>158.54161155980023</v>
      </c>
      <c r="N44" s="150">
        <f t="shared" si="30"/>
        <v>132.71948289353574</v>
      </c>
      <c r="O44" s="150">
        <f>$C$43/10+N44+O$6</f>
        <v>98.576346903052496</v>
      </c>
      <c r="P44" s="150">
        <f t="shared" si="30"/>
        <v>57.14222702585046</v>
      </c>
      <c r="Q44" s="152">
        <f t="shared" si="30"/>
        <v>-18.728937773226562</v>
      </c>
      <c r="R44" s="150">
        <f t="shared" si="30"/>
        <v>-62.908104525428556</v>
      </c>
      <c r="S44" s="333">
        <f t="shared" si="30"/>
        <v>-138.2682512580993</v>
      </c>
      <c r="T44" s="150"/>
      <c r="U44" s="151"/>
      <c r="V44" s="151"/>
      <c r="W44" s="151"/>
    </row>
    <row r="45" spans="1:24">
      <c r="H45" s="148" t="s">
        <v>109</v>
      </c>
      <c r="J45" s="151"/>
      <c r="K45" s="151"/>
      <c r="L45" s="150">
        <f>$D$43/10+L$7</f>
        <v>133.76524427440449</v>
      </c>
      <c r="M45" s="150">
        <f t="shared" ref="M45:S45" si="31">$D$43/10+L45+M$6</f>
        <v>133.51146218162148</v>
      </c>
      <c r="N45" s="150">
        <f t="shared" si="31"/>
        <v>109.07268961032287</v>
      </c>
      <c r="O45" s="150">
        <f t="shared" si="31"/>
        <v>76.3129097148055</v>
      </c>
      <c r="P45" s="150">
        <f t="shared" si="31"/>
        <v>36.262145932569354</v>
      </c>
      <c r="Q45" s="152">
        <f t="shared" si="31"/>
        <v>-38.225662771541778</v>
      </c>
      <c r="R45" s="150">
        <f t="shared" si="31"/>
        <v>-81.021473428777881</v>
      </c>
      <c r="S45" s="333">
        <f t="shared" si="31"/>
        <v>-154.99826406648273</v>
      </c>
      <c r="T45" s="150"/>
      <c r="U45" s="150"/>
      <c r="V45" s="151"/>
      <c r="W45" s="151"/>
    </row>
    <row r="46" spans="1:24">
      <c r="H46" s="148" t="s">
        <v>110</v>
      </c>
      <c r="J46" s="151"/>
      <c r="K46" s="151"/>
      <c r="L46" s="151"/>
      <c r="M46" s="150">
        <f>$E$43/10+M$7</f>
        <v>106.23681922048843</v>
      </c>
      <c r="N46" s="150">
        <f t="shared" ref="N46:S46" si="32">$E$43/10+M46+N$6</f>
        <v>83.703621351133165</v>
      </c>
      <c r="O46" s="150">
        <f t="shared" si="32"/>
        <v>52.849416157559148</v>
      </c>
      <c r="P46" s="150">
        <f t="shared" si="32"/>
        <v>14.704227077266353</v>
      </c>
      <c r="Q46" s="152">
        <f t="shared" si="32"/>
        <v>-57.87800692490142</v>
      </c>
      <c r="R46" s="150">
        <f t="shared" si="32"/>
        <v>-98.768242880194165</v>
      </c>
      <c r="S46" s="333">
        <f t="shared" si="32"/>
        <v>-170.83945881595565</v>
      </c>
      <c r="T46" s="150"/>
      <c r="U46" s="150"/>
      <c r="V46" s="150"/>
      <c r="W46" s="151"/>
    </row>
    <row r="47" spans="1:24" ht="15.75" thickBot="1">
      <c r="H47" s="148" t="s">
        <v>111</v>
      </c>
      <c r="J47" s="151"/>
      <c r="K47" s="151"/>
      <c r="L47" s="151"/>
      <c r="M47" s="152"/>
      <c r="N47" s="150">
        <f>$F$43/10+N$7</f>
        <v>53.951311894249429</v>
      </c>
      <c r="O47" s="150">
        <f>$F$43/10+N47+O$6</f>
        <v>24.430589608811431</v>
      </c>
      <c r="P47" s="152">
        <f>$F$43/10+O47+P$6</f>
        <v>-12.381116563345344</v>
      </c>
      <c r="Q47" s="150">
        <f>$F$43/10+P47+Q$6</f>
        <v>-83.629867657377105</v>
      </c>
      <c r="R47" s="150">
        <f>$F$43/10+Q47+R$6</f>
        <v>-123.18662070453384</v>
      </c>
      <c r="S47" s="336">
        <f>$F$43/10+R47+S$6</f>
        <v>-193.92435373215932</v>
      </c>
      <c r="T47" s="150"/>
      <c r="U47" s="150"/>
      <c r="V47" s="150"/>
      <c r="W47" s="150"/>
    </row>
    <row r="48" spans="1:24" ht="15.75" thickTop="1"/>
    <row r="49" spans="1:1" ht="15.75">
      <c r="A49" s="319"/>
    </row>
    <row r="50" spans="1:1" ht="15.75">
      <c r="A50" s="320"/>
    </row>
    <row r="51" spans="1:1" ht="15.75">
      <c r="A51" s="320"/>
    </row>
    <row r="52" spans="1:1" ht="15.75">
      <c r="A52" s="322"/>
    </row>
    <row r="53" spans="1:1" ht="15.75">
      <c r="A53" s="322"/>
    </row>
    <row r="54" spans="1:1" ht="15.75">
      <c r="A54" s="322"/>
    </row>
    <row r="55" spans="1:1" ht="15.75">
      <c r="A55" s="323"/>
    </row>
    <row r="56" spans="1:1" ht="15.75">
      <c r="A56" s="324"/>
    </row>
    <row r="57" spans="1:1" ht="15.75">
      <c r="A57" s="319"/>
    </row>
    <row r="58" spans="1:1" ht="15.75">
      <c r="A58" s="325"/>
    </row>
    <row r="59" spans="1:1" ht="15.75">
      <c r="A59" s="325"/>
    </row>
    <row r="60" spans="1:1" ht="15.75">
      <c r="A60" s="321"/>
    </row>
  </sheetData>
  <mergeCells count="3">
    <mergeCell ref="Y9:Z11"/>
    <mergeCell ref="B4:F4"/>
    <mergeCell ref="A1:F3"/>
  </mergeCells>
  <phoneticPr fontId="35" type="noConversion"/>
  <conditionalFormatting sqref="I13:L13 I9:S12 X12:X13 N13:S13">
    <cfRule type="colorScale" priority="12">
      <colorScale>
        <cfvo type="min"/>
        <cfvo type="num" val="0"/>
        <cfvo type="max"/>
        <color rgb="FFF8696B"/>
        <color rgb="FFFFEB84"/>
        <color rgb="FF63BE7B"/>
      </colorScale>
    </cfRule>
  </conditionalFormatting>
  <conditionalFormatting sqref="J33:L33 N33:S33 J25:S32">
    <cfRule type="colorScale" priority="8">
      <colorScale>
        <cfvo type="min"/>
        <cfvo type="percentile" val="50"/>
        <cfvo type="max"/>
        <color rgb="FFF8696B"/>
        <color rgb="FFFFEB84"/>
        <color rgb="FF63BE7B"/>
      </colorScale>
    </cfRule>
  </conditionalFormatting>
  <conditionalFormatting sqref="J40:L40 J36:S39 N40:S40">
    <cfRule type="colorScale" priority="7">
      <colorScale>
        <cfvo type="min"/>
        <cfvo type="percentile" val="50"/>
        <cfvo type="max"/>
        <color rgb="FFF8696B"/>
        <color rgb="FFFFEB84"/>
        <color rgb="FF63BE7B"/>
      </colorScale>
    </cfRule>
  </conditionalFormatting>
  <conditionalFormatting sqref="J43:S43 J47:L47 N47:W47 J46:V46 J45:U45 J44:T44">
    <cfRule type="colorScale" priority="6">
      <colorScale>
        <cfvo type="min"/>
        <cfvo type="percentile" val="50"/>
        <cfvo type="max"/>
        <color rgb="FFF8696B"/>
        <color rgb="FFFFEB84"/>
        <color rgb="FF63BE7B"/>
      </colorScale>
    </cfRule>
  </conditionalFormatting>
  <conditionalFormatting sqref="I7:X7 I2:X2">
    <cfRule type="colorScale" priority="5">
      <colorScale>
        <cfvo type="min"/>
        <cfvo type="percentile" val="50"/>
        <cfvo type="max"/>
        <color rgb="FFF8696B"/>
        <color rgb="FFFFEB84"/>
        <color rgb="FF63BE7B"/>
      </colorScale>
    </cfRule>
  </conditionalFormatting>
  <conditionalFormatting sqref="J16:W16 J17:S21">
    <cfRule type="colorScale" priority="2">
      <colorScale>
        <cfvo type="min"/>
        <cfvo type="percentile" val="50"/>
        <cfvo type="max"/>
        <color rgb="FFF8696B"/>
        <color rgb="FFFFEB84"/>
        <color rgb="FF63BE7B"/>
      </colorScale>
    </cfRule>
  </conditionalFormatting>
  <conditionalFormatting sqref="J9:S13">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95F1-CD67-4582-84EC-3814779B82AB}">
  <sheetPr>
    <pageSetUpPr fitToPage="1"/>
  </sheetPr>
  <dimension ref="A2:F35"/>
  <sheetViews>
    <sheetView topLeftCell="A11" zoomScale="85" zoomScaleNormal="85" workbookViewId="0">
      <selection activeCell="A14" sqref="A14"/>
    </sheetView>
  </sheetViews>
  <sheetFormatPr defaultColWidth="9.140625" defaultRowHeight="15.75"/>
  <cols>
    <col min="1" max="1" width="46.7109375" style="5" customWidth="1"/>
    <col min="2" max="2" width="52.140625" style="5" customWidth="1"/>
    <col min="3" max="3" width="16.5703125" style="5" customWidth="1"/>
    <col min="4" max="4" width="25.5703125" style="5" customWidth="1"/>
    <col min="5" max="5" width="21.42578125" style="5" bestFit="1" customWidth="1"/>
    <col min="6" max="6" width="56.85546875" style="5" customWidth="1"/>
    <col min="7" max="7" width="39" style="5" bestFit="1" customWidth="1"/>
    <col min="8" max="9" width="9.140625" style="5"/>
    <col min="10" max="10" width="29.5703125" style="5" customWidth="1"/>
    <col min="11" max="11" width="14.85546875" style="5" customWidth="1"/>
    <col min="12" max="16384" width="9.140625" style="5"/>
  </cols>
  <sheetData>
    <row r="2" spans="1:6" ht="42" customHeight="1">
      <c r="A2" s="356" t="s">
        <v>156</v>
      </c>
      <c r="C2" s="7"/>
    </row>
    <row r="3" spans="1:6" ht="17.25" customHeight="1">
      <c r="A3" s="356"/>
      <c r="C3" s="29"/>
      <c r="D3" s="29"/>
      <c r="E3" s="29"/>
      <c r="F3" s="29"/>
    </row>
    <row r="4" spans="1:6" ht="38.450000000000003" customHeight="1">
      <c r="A4" s="356"/>
      <c r="C4" s="29"/>
      <c r="D4" s="29"/>
      <c r="E4" s="29"/>
      <c r="F4" s="29"/>
    </row>
    <row r="5" spans="1:6" ht="16.5" thickBot="1"/>
    <row r="6" spans="1:6" ht="32.25" thickBot="1">
      <c r="A6" s="326" t="s">
        <v>118</v>
      </c>
      <c r="B6" s="12" t="s">
        <v>3</v>
      </c>
      <c r="C6" s="23" t="s">
        <v>0</v>
      </c>
      <c r="D6" s="24" t="s">
        <v>1</v>
      </c>
      <c r="E6" s="25" t="s">
        <v>2</v>
      </c>
      <c r="F6" s="24" t="s">
        <v>4</v>
      </c>
    </row>
    <row r="7" spans="1:6" ht="226.5" customHeight="1" thickBot="1">
      <c r="A7" s="358" t="s">
        <v>5</v>
      </c>
      <c r="B7" s="1" t="s">
        <v>6</v>
      </c>
      <c r="C7" s="13" t="s">
        <v>7</v>
      </c>
      <c r="D7" s="8"/>
      <c r="E7" s="9"/>
      <c r="F7" s="107" t="s">
        <v>181</v>
      </c>
    </row>
    <row r="8" spans="1:6" ht="397.5" customHeight="1" thickBot="1">
      <c r="A8" s="359"/>
      <c r="B8" s="3" t="s">
        <v>8</v>
      </c>
      <c r="C8" s="14" t="s">
        <v>9</v>
      </c>
      <c r="D8" s="18"/>
      <c r="E8" s="19"/>
      <c r="F8" s="107" t="s">
        <v>182</v>
      </c>
    </row>
    <row r="9" spans="1:6" ht="409.6" customHeight="1" thickBot="1">
      <c r="A9" s="359"/>
      <c r="B9" s="3" t="s">
        <v>10</v>
      </c>
      <c r="C9" s="14" t="s">
        <v>11</v>
      </c>
      <c r="D9" s="21" t="s">
        <v>12</v>
      </c>
      <c r="E9" s="9"/>
      <c r="F9" s="2" t="s">
        <v>85</v>
      </c>
    </row>
    <row r="10" spans="1:6" ht="129" customHeight="1" thickBot="1">
      <c r="A10" s="359"/>
      <c r="B10" s="3" t="s">
        <v>13</v>
      </c>
      <c r="C10" s="14" t="s">
        <v>14</v>
      </c>
      <c r="D10" s="16"/>
      <c r="E10" s="17"/>
      <c r="F10" s="318" t="s">
        <v>184</v>
      </c>
    </row>
    <row r="11" spans="1:6" ht="45.75" customHeight="1" thickBot="1">
      <c r="A11" s="360"/>
      <c r="B11" s="4" t="s">
        <v>15</v>
      </c>
      <c r="C11" s="15" t="s">
        <v>16</v>
      </c>
      <c r="D11" s="16"/>
      <c r="E11" s="17"/>
      <c r="F11" s="20"/>
    </row>
    <row r="12" spans="1:6" ht="18" customHeight="1"/>
    <row r="13" spans="1:6" s="138" customFormat="1" ht="16.5" thickBot="1">
      <c r="A13" s="30"/>
      <c r="B13" s="31"/>
      <c r="C13" s="28"/>
      <c r="D13" s="28"/>
      <c r="E13" s="28"/>
      <c r="F13" s="28"/>
    </row>
    <row r="14" spans="1:6" s="138" customFormat="1" ht="30.75" thickBot="1">
      <c r="A14" s="347" t="s">
        <v>190</v>
      </c>
      <c r="B14" s="12" t="s">
        <v>3</v>
      </c>
      <c r="C14" s="23" t="s">
        <v>0</v>
      </c>
      <c r="D14" s="23" t="s">
        <v>1</v>
      </c>
      <c r="E14" s="23" t="s">
        <v>2</v>
      </c>
      <c r="F14" s="23" t="s">
        <v>4</v>
      </c>
    </row>
    <row r="15" spans="1:6" ht="143.25" customHeight="1" thickBot="1">
      <c r="A15" s="357" t="s">
        <v>17</v>
      </c>
      <c r="B15" s="27" t="s">
        <v>18</v>
      </c>
      <c r="C15" s="9"/>
      <c r="D15" s="9"/>
      <c r="E15" s="9"/>
      <c r="F15" s="9"/>
    </row>
    <row r="16" spans="1:6" ht="143.25" customHeight="1" thickBot="1">
      <c r="A16" s="361"/>
      <c r="B16" s="27" t="s">
        <v>81</v>
      </c>
      <c r="C16" s="10" t="s">
        <v>19</v>
      </c>
      <c r="D16" s="10" t="s">
        <v>20</v>
      </c>
      <c r="E16" s="32" t="s">
        <v>21</v>
      </c>
      <c r="F16" s="1" t="s">
        <v>185</v>
      </c>
    </row>
    <row r="17" spans="1:6" ht="92.25" customHeight="1" thickBot="1">
      <c r="A17" s="361"/>
      <c r="B17" s="27" t="s">
        <v>22</v>
      </c>
      <c r="C17" s="10"/>
      <c r="D17" s="10"/>
      <c r="E17" s="32" t="s">
        <v>23</v>
      </c>
      <c r="F17" s="1" t="s">
        <v>133</v>
      </c>
    </row>
    <row r="18" spans="1:6" ht="197.25" customHeight="1" thickBot="1">
      <c r="A18" s="361"/>
      <c r="B18" s="33" t="s">
        <v>24</v>
      </c>
      <c r="C18" s="10"/>
      <c r="D18" s="10"/>
      <c r="E18" s="10"/>
      <c r="F18" s="106" t="s">
        <v>135</v>
      </c>
    </row>
    <row r="19" spans="1:6" ht="260.10000000000002" customHeight="1" thickBot="1">
      <c r="A19" s="361"/>
      <c r="B19" s="187" t="s">
        <v>25</v>
      </c>
      <c r="C19" s="10"/>
      <c r="D19" s="10" t="s">
        <v>26</v>
      </c>
      <c r="E19" s="10"/>
      <c r="F19" s="106" t="s">
        <v>183</v>
      </c>
    </row>
    <row r="20" spans="1:6" s="137" customFormat="1" ht="38.450000000000003" customHeight="1" thickBot="1">
      <c r="B20" s="182"/>
      <c r="C20" s="182"/>
    </row>
    <row r="21" spans="1:6" ht="30.75" thickBot="1">
      <c r="A21" s="347" t="s">
        <v>189</v>
      </c>
      <c r="B21" s="12" t="s">
        <v>3</v>
      </c>
      <c r="C21" s="23" t="s">
        <v>0</v>
      </c>
      <c r="D21" s="23" t="s">
        <v>1</v>
      </c>
      <c r="E21" s="23" t="s">
        <v>2</v>
      </c>
      <c r="F21" s="23" t="s">
        <v>4</v>
      </c>
    </row>
    <row r="22" spans="1:6" ht="32.25" thickBot="1">
      <c r="A22" s="357" t="s">
        <v>27</v>
      </c>
      <c r="B22" s="2" t="s">
        <v>28</v>
      </c>
      <c r="C22" s="6" t="s">
        <v>29</v>
      </c>
      <c r="D22" s="6"/>
      <c r="E22" s="6"/>
      <c r="F22" s="139" t="s">
        <v>116</v>
      </c>
    </row>
    <row r="23" spans="1:6" ht="110.1" customHeight="1" thickBot="1">
      <c r="A23" s="357"/>
      <c r="B23" s="2" t="s">
        <v>30</v>
      </c>
      <c r="C23" s="6" t="s">
        <v>31</v>
      </c>
      <c r="D23" s="6"/>
      <c r="E23" s="6"/>
      <c r="F23" s="27" t="s">
        <v>134</v>
      </c>
    </row>
    <row r="24" spans="1:6" ht="91.5" customHeight="1" thickBot="1">
      <c r="A24" s="357"/>
      <c r="B24" s="2" t="s">
        <v>32</v>
      </c>
      <c r="C24" s="6" t="s">
        <v>33</v>
      </c>
      <c r="D24" s="6"/>
      <c r="E24" s="6"/>
      <c r="F24" s="108" t="s">
        <v>86</v>
      </c>
    </row>
    <row r="25" spans="1:6" ht="89.1" customHeight="1" thickBot="1">
      <c r="A25" s="357"/>
      <c r="B25" s="2" t="s">
        <v>34</v>
      </c>
      <c r="C25" s="6" t="s">
        <v>33</v>
      </c>
      <c r="D25" s="6"/>
      <c r="E25" s="6"/>
      <c r="F25" s="27" t="s">
        <v>87</v>
      </c>
    </row>
    <row r="26" spans="1:6" ht="192" customHeight="1" thickBot="1">
      <c r="A26" s="357"/>
      <c r="B26" s="11" t="s">
        <v>35</v>
      </c>
      <c r="C26" s="6" t="s">
        <v>36</v>
      </c>
      <c r="D26" s="6" t="s">
        <v>37</v>
      </c>
      <c r="E26" s="6"/>
      <c r="F26" s="108" t="s">
        <v>136</v>
      </c>
    </row>
    <row r="27" spans="1:6" ht="59.45" customHeight="1" thickBot="1">
      <c r="A27" s="357"/>
      <c r="B27" s="2" t="s">
        <v>38</v>
      </c>
      <c r="C27" s="6"/>
      <c r="D27" s="6" t="s">
        <v>39</v>
      </c>
      <c r="E27" s="6"/>
      <c r="F27" s="108" t="s">
        <v>157</v>
      </c>
    </row>
    <row r="28" spans="1:6" ht="145.5" customHeight="1" thickBot="1">
      <c r="A28" s="357"/>
      <c r="B28" s="2" t="s">
        <v>40</v>
      </c>
      <c r="C28" s="6"/>
      <c r="D28" s="6" t="s">
        <v>41</v>
      </c>
      <c r="E28" s="6"/>
      <c r="F28" s="27" t="s">
        <v>42</v>
      </c>
    </row>
    <row r="29" spans="1:6" ht="149.44999999999999" customHeight="1" thickBot="1">
      <c r="A29" s="357"/>
      <c r="B29" s="1" t="s">
        <v>43</v>
      </c>
      <c r="C29" s="6"/>
      <c r="D29" s="6"/>
      <c r="E29" s="6" t="s">
        <v>44</v>
      </c>
      <c r="F29" s="139" t="s">
        <v>186</v>
      </c>
    </row>
    <row r="30" spans="1:6" ht="38.1" customHeight="1" thickBot="1"/>
    <row r="31" spans="1:6" ht="42.95" customHeight="1" thickBot="1">
      <c r="A31" s="23" t="s">
        <v>127</v>
      </c>
      <c r="B31" s="12" t="s">
        <v>3</v>
      </c>
      <c r="C31" s="23" t="s">
        <v>0</v>
      </c>
      <c r="D31" s="23" t="s">
        <v>1</v>
      </c>
      <c r="E31" s="23" t="s">
        <v>2</v>
      </c>
      <c r="F31" s="23" t="s">
        <v>4</v>
      </c>
    </row>
    <row r="32" spans="1:6" ht="126.75" thickBot="1">
      <c r="A32" s="22"/>
      <c r="B32" s="1" t="s">
        <v>82</v>
      </c>
      <c r="C32" s="1" t="s">
        <v>83</v>
      </c>
      <c r="D32" s="9"/>
      <c r="E32" s="9"/>
      <c r="F32" s="106" t="s">
        <v>158</v>
      </c>
    </row>
    <row r="33" spans="1:6" ht="16.5" thickBot="1"/>
    <row r="34" spans="1:6" ht="53.1" customHeight="1" thickBot="1">
      <c r="A34" s="23" t="s">
        <v>125</v>
      </c>
      <c r="B34" s="12" t="s">
        <v>3</v>
      </c>
      <c r="C34" s="23" t="s">
        <v>0</v>
      </c>
      <c r="D34" s="23" t="s">
        <v>1</v>
      </c>
      <c r="E34" s="23" t="s">
        <v>2</v>
      </c>
      <c r="F34" s="23" t="s">
        <v>4</v>
      </c>
    </row>
    <row r="35" spans="1:6" ht="189.75" customHeight="1" thickBot="1">
      <c r="A35" s="26"/>
      <c r="B35" s="1" t="s">
        <v>187</v>
      </c>
      <c r="C35" s="1" t="s">
        <v>126</v>
      </c>
      <c r="D35" s="23"/>
      <c r="E35" s="23"/>
      <c r="F35" s="1" t="s">
        <v>188</v>
      </c>
    </row>
  </sheetData>
  <mergeCells count="4">
    <mergeCell ref="A2:A4"/>
    <mergeCell ref="A22:A29"/>
    <mergeCell ref="A7:A11"/>
    <mergeCell ref="A15:A19"/>
  </mergeCells>
  <phoneticPr fontId="35" type="noConversion"/>
  <hyperlinks>
    <hyperlink ref="E17" r:id="rId1" xr:uid="{3D159C2C-510B-4472-A57C-6892C1E06140}"/>
    <hyperlink ref="F19" r:id="rId2" display="https://www.nhpf.org/uploads/Handouts/Miller-slides_02-20-15.pdf" xr:uid="{C0F54FD2-1DF4-47BC-9666-9C73CED648A6}"/>
    <hyperlink ref="F18" r:id="rId3" display="https://www.healthaffairs.org/doi/full/10.1377/hlthaff.2013.0188" xr:uid="{C5D7BFD3-99FB-46D5-9B46-0C55619D0324}"/>
    <hyperlink ref="E16" r:id="rId4" xr:uid="{22F21217-17E9-4BB0-921C-E6065BF67046}"/>
    <hyperlink ref="A6" r:id="rId5" xr:uid="{3B8DA3B4-94EC-4E92-8D3B-9A3BFE92168E}"/>
    <hyperlink ref="A14" r:id="rId6" xr:uid="{A8F9D29C-F184-444D-A105-3F7EAFE4503C}"/>
    <hyperlink ref="A21" r:id="rId7" xr:uid="{129E15A3-8123-4ED2-A42B-FF8FB6EA0728}"/>
    <hyperlink ref="F32" r:id="rId8" display="https://www.cbo.gov/system/files/2020-12/56783-budget-options.pdf" xr:uid="{51B37B1B-0BDD-49AB-BE89-B8ECE2743B80}"/>
  </hyperlinks>
  <pageMargins left="0.7" right="0.7" top="0.75" bottom="0.75" header="0.3" footer="0.3"/>
  <pageSetup paperSize="9" scale="59"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92C12-C4CF-4509-85D1-111FB24101C7}">
  <dimension ref="A1:Z31"/>
  <sheetViews>
    <sheetView workbookViewId="0">
      <pane ySplit="1" topLeftCell="A2" activePane="bottomLeft" state="frozen"/>
      <selection pane="bottomLeft" activeCell="K11" sqref="K11"/>
    </sheetView>
  </sheetViews>
  <sheetFormatPr defaultColWidth="9.140625" defaultRowHeight="15.75"/>
  <cols>
    <col min="1" max="1" width="19.7109375" style="181" customWidth="1"/>
    <col min="2" max="2" width="25.85546875" style="181" customWidth="1"/>
    <col min="3" max="3" width="9.140625" style="181"/>
    <col min="4" max="4" width="11.85546875" style="181" customWidth="1"/>
    <col min="5" max="5" width="15.42578125" style="181" customWidth="1"/>
    <col min="6" max="6" width="13" style="181" customWidth="1"/>
    <col min="7" max="7" width="11.5703125" style="181" customWidth="1"/>
    <col min="8" max="8" width="13.85546875" style="181" customWidth="1"/>
    <col min="9" max="10" width="11.28515625" style="181" bestFit="1" customWidth="1"/>
    <col min="11" max="18" width="9.140625" style="181"/>
    <col min="19" max="26" width="9.140625" style="191"/>
    <col min="27" max="16384" width="9.140625" style="181"/>
  </cols>
  <sheetData>
    <row r="1" spans="1:26" s="190" customFormat="1">
      <c r="B1" s="188"/>
      <c r="C1" s="189">
        <v>2020</v>
      </c>
      <c r="D1" s="189">
        <v>2021</v>
      </c>
      <c r="E1" s="189">
        <v>2022</v>
      </c>
      <c r="F1" s="189">
        <v>2023</v>
      </c>
      <c r="G1" s="189">
        <v>2024</v>
      </c>
      <c r="H1" s="189">
        <v>2025</v>
      </c>
      <c r="I1" s="189">
        <v>2026</v>
      </c>
      <c r="J1" s="189">
        <v>2027</v>
      </c>
      <c r="K1" s="189">
        <v>2028</v>
      </c>
      <c r="L1" s="189">
        <v>2029</v>
      </c>
      <c r="M1" s="189">
        <v>2030</v>
      </c>
      <c r="N1" s="189">
        <v>2031</v>
      </c>
      <c r="O1" s="189">
        <v>2032</v>
      </c>
      <c r="P1" s="189">
        <v>2033</v>
      </c>
      <c r="Q1" s="189">
        <v>2034</v>
      </c>
      <c r="R1" s="197">
        <v>2035</v>
      </c>
      <c r="S1" s="191"/>
      <c r="T1" s="191"/>
      <c r="U1" s="191"/>
      <c r="V1" s="191"/>
      <c r="W1" s="191"/>
      <c r="X1" s="191"/>
      <c r="Y1" s="191"/>
      <c r="Z1" s="191"/>
    </row>
    <row r="2" spans="1:26" s="191" customFormat="1" ht="31.5">
      <c r="A2" s="227" t="s">
        <v>128</v>
      </c>
      <c r="B2" s="222" t="s">
        <v>138</v>
      </c>
      <c r="C2" s="203"/>
      <c r="D2" s="204"/>
      <c r="E2" s="204"/>
      <c r="F2" s="204"/>
      <c r="G2" s="204"/>
      <c r="H2" s="204"/>
      <c r="I2" s="203"/>
      <c r="J2" s="203"/>
      <c r="K2" s="203"/>
      <c r="L2" s="203"/>
      <c r="M2" s="203"/>
      <c r="N2" s="203"/>
      <c r="O2" s="203"/>
      <c r="P2" s="203"/>
      <c r="Q2" s="203"/>
      <c r="R2" s="202"/>
    </row>
    <row r="3" spans="1:26" s="191" customFormat="1">
      <c r="B3" s="192" t="s">
        <v>84</v>
      </c>
      <c r="C3" s="201">
        <v>62264</v>
      </c>
      <c r="D3" s="201">
        <v>63814</v>
      </c>
      <c r="E3" s="201">
        <v>65485</v>
      </c>
      <c r="F3" s="201">
        <v>67095</v>
      </c>
      <c r="G3" s="201">
        <v>68676</v>
      </c>
      <c r="H3" s="201">
        <v>70303</v>
      </c>
      <c r="I3" s="201">
        <v>71904</v>
      </c>
      <c r="J3" s="201">
        <v>73438</v>
      </c>
      <c r="K3" s="201">
        <v>74916</v>
      </c>
      <c r="L3" s="201">
        <v>76297</v>
      </c>
      <c r="M3" s="201">
        <v>77546</v>
      </c>
      <c r="N3" s="205">
        <f>($R$3-$M$3)/5+M$3</f>
        <v>78422</v>
      </c>
      <c r="O3" s="205">
        <f t="shared" ref="O3:Q3" si="0">($R$3-$M$3)/5+N$3</f>
        <v>79298</v>
      </c>
      <c r="P3" s="205">
        <f>($R$3-$M$3)/5+O$3</f>
        <v>80174</v>
      </c>
      <c r="Q3" s="205">
        <f t="shared" si="0"/>
        <v>81050</v>
      </c>
      <c r="R3" s="206">
        <v>81926</v>
      </c>
    </row>
    <row r="4" spans="1:26" s="191" customFormat="1">
      <c r="B4" s="192" t="s">
        <v>121</v>
      </c>
      <c r="C4" s="201">
        <v>24999</v>
      </c>
      <c r="D4" s="201">
        <v>26213</v>
      </c>
      <c r="E4" s="201">
        <v>27207</v>
      </c>
      <c r="F4" s="201">
        <v>28036</v>
      </c>
      <c r="G4" s="201">
        <v>28955</v>
      </c>
      <c r="H4" s="201">
        <v>29862</v>
      </c>
      <c r="I4" s="201">
        <v>30745</v>
      </c>
      <c r="J4" s="201">
        <v>31588</v>
      </c>
      <c r="K4" s="201">
        <v>32391</v>
      </c>
      <c r="L4" s="201">
        <v>33141</v>
      </c>
      <c r="M4" s="201">
        <v>33832</v>
      </c>
      <c r="N4" s="205">
        <f>($R$4-$M$4)/5+M$4</f>
        <v>34292.800000000003</v>
      </c>
      <c r="O4" s="205">
        <f t="shared" ref="O4:Q4" si="1">($R$4-$M$4)/5+N$4</f>
        <v>34753.600000000006</v>
      </c>
      <c r="P4" s="205">
        <f t="shared" si="1"/>
        <v>35214.400000000009</v>
      </c>
      <c r="Q4" s="205">
        <f t="shared" si="1"/>
        <v>35675.200000000012</v>
      </c>
      <c r="R4" s="206">
        <v>36136</v>
      </c>
    </row>
    <row r="5" spans="1:26" s="191" customFormat="1" ht="47.25">
      <c r="B5" s="200" t="s">
        <v>130</v>
      </c>
      <c r="C5" s="203"/>
      <c r="D5" s="201">
        <f>SUM(D3:M4)</f>
        <v>1011444</v>
      </c>
      <c r="E5" s="201">
        <f>SUM(E3:N4)</f>
        <v>1034131.8</v>
      </c>
      <c r="F5" s="201">
        <f t="shared" ref="F5:H5" si="2">SUM(F3:O4)</f>
        <v>1055491.4000000001</v>
      </c>
      <c r="G5" s="201">
        <f t="shared" si="2"/>
        <v>1075748.8</v>
      </c>
      <c r="H5" s="201">
        <f t="shared" si="2"/>
        <v>1094843</v>
      </c>
      <c r="I5" s="201"/>
      <c r="J5" s="201"/>
      <c r="K5" s="201"/>
      <c r="L5" s="201"/>
      <c r="M5" s="201"/>
      <c r="N5" s="201"/>
      <c r="O5" s="201"/>
      <c r="P5" s="201"/>
      <c r="Q5" s="201"/>
      <c r="R5" s="206"/>
      <c r="S5" s="193"/>
      <c r="T5" s="193"/>
      <c r="U5" s="193"/>
      <c r="V5" s="193"/>
    </row>
    <row r="6" spans="1:26" s="191" customFormat="1" ht="16.5" thickBot="1">
      <c r="A6" s="228"/>
      <c r="B6" s="223" t="s">
        <v>129</v>
      </c>
      <c r="C6" s="224"/>
      <c r="D6" s="241"/>
      <c r="E6" s="242">
        <f>(E5-D5)/D5</f>
        <v>2.2431098508666862E-2</v>
      </c>
      <c r="F6" s="242">
        <f t="shared" ref="F6:H6" si="3">(F5-E5)/E5</f>
        <v>2.065462061992494E-2</v>
      </c>
      <c r="G6" s="242">
        <f t="shared" si="3"/>
        <v>1.9192387545744004E-2</v>
      </c>
      <c r="H6" s="242">
        <f t="shared" si="3"/>
        <v>1.774968282558154E-2</v>
      </c>
      <c r="I6" s="241"/>
      <c r="J6" s="241"/>
      <c r="K6" s="241"/>
      <c r="L6" s="241"/>
      <c r="M6" s="241"/>
      <c r="N6" s="241"/>
      <c r="O6" s="241"/>
      <c r="P6" s="241"/>
      <c r="Q6" s="241"/>
      <c r="R6" s="243"/>
      <c r="S6" s="193"/>
      <c r="T6" s="193"/>
      <c r="U6" s="193"/>
      <c r="V6" s="193"/>
    </row>
    <row r="7" spans="1:26" s="191" customFormat="1" ht="63">
      <c r="A7" s="240" t="s">
        <v>132</v>
      </c>
      <c r="B7" s="246" t="s">
        <v>137</v>
      </c>
      <c r="C7" s="207">
        <v>30</v>
      </c>
      <c r="D7" s="207">
        <v>36</v>
      </c>
      <c r="E7" s="207">
        <v>37</v>
      </c>
      <c r="F7" s="207">
        <v>36</v>
      </c>
      <c r="G7" s="207">
        <v>36</v>
      </c>
      <c r="H7" s="207">
        <v>36</v>
      </c>
      <c r="I7" s="207">
        <v>37</v>
      </c>
      <c r="J7" s="207">
        <v>39</v>
      </c>
      <c r="K7" s="207">
        <v>40</v>
      </c>
      <c r="L7" s="207">
        <v>42</v>
      </c>
      <c r="M7" s="207">
        <v>45</v>
      </c>
      <c r="N7" s="207">
        <v>47.1</v>
      </c>
      <c r="O7" s="208">
        <f>N7+($N$7-$C$7)/12</f>
        <v>48.524999999999999</v>
      </c>
      <c r="P7" s="208">
        <f t="shared" ref="P7:Q7" si="4">O7+($N$7-$C$7)/12</f>
        <v>49.949999999999996</v>
      </c>
      <c r="Q7" s="208">
        <f t="shared" si="4"/>
        <v>51.374999999999993</v>
      </c>
      <c r="R7" s="202"/>
    </row>
    <row r="8" spans="1:26" s="191" customFormat="1" ht="16.5" thickBot="1">
      <c r="A8" s="232"/>
      <c r="B8" s="238" t="s">
        <v>124</v>
      </c>
      <c r="C8" s="224"/>
      <c r="D8" s="239">
        <f>SUM(D7:M7)</f>
        <v>384</v>
      </c>
      <c r="E8" s="239">
        <f>SUM(E7:N7)</f>
        <v>395.1</v>
      </c>
      <c r="F8" s="239">
        <f>SUM(F7:O7)</f>
        <v>406.625</v>
      </c>
      <c r="G8" s="239">
        <f>SUM(G7:P7)</f>
        <v>420.57499999999999</v>
      </c>
      <c r="H8" s="239">
        <f>SUM(H7:Q7)</f>
        <v>435.95</v>
      </c>
      <c r="I8" s="224"/>
      <c r="J8" s="224"/>
      <c r="K8" s="224"/>
      <c r="L8" s="224"/>
      <c r="M8" s="224"/>
      <c r="N8" s="224"/>
      <c r="O8" s="224"/>
      <c r="P8" s="224"/>
      <c r="Q8" s="224"/>
      <c r="R8" s="226"/>
    </row>
    <row r="9" spans="1:26" s="191" customFormat="1" ht="94.5">
      <c r="A9" s="231" t="s">
        <v>131</v>
      </c>
      <c r="B9" s="247" t="s">
        <v>123</v>
      </c>
      <c r="C9" s="213"/>
      <c r="D9" s="214">
        <f t="shared" ref="D9:Q9" si="5">0.08*D15</f>
        <v>27.533440000000002</v>
      </c>
      <c r="E9" s="214">
        <f t="shared" si="5"/>
        <v>28.198800000000002</v>
      </c>
      <c r="F9" s="214">
        <f t="shared" si="5"/>
        <v>32.586080000000003</v>
      </c>
      <c r="G9" s="214">
        <f t="shared" si="5"/>
        <v>33.90448</v>
      </c>
      <c r="H9" s="214">
        <f t="shared" si="5"/>
        <v>37.2592</v>
      </c>
      <c r="I9" s="214">
        <f t="shared" si="5"/>
        <v>39.504800000000003</v>
      </c>
      <c r="J9" s="214">
        <f t="shared" si="5"/>
        <v>41.870480000000001</v>
      </c>
      <c r="K9" s="214">
        <f t="shared" si="5"/>
        <v>46.146160000000002</v>
      </c>
      <c r="L9" s="214">
        <f t="shared" si="5"/>
        <v>45.130320000000005</v>
      </c>
      <c r="M9" s="214">
        <f t="shared" si="5"/>
        <v>49.197679999999998</v>
      </c>
      <c r="N9" s="214">
        <f t="shared" si="5"/>
        <v>52.844880000000003</v>
      </c>
      <c r="O9" s="214">
        <f t="shared" si="5"/>
        <v>54.49924</v>
      </c>
      <c r="P9" s="214">
        <f t="shared" si="5"/>
        <v>56.153599999999997</v>
      </c>
      <c r="Q9" s="214">
        <f t="shared" si="5"/>
        <v>57.807959999999994</v>
      </c>
      <c r="R9" s="215"/>
      <c r="S9" s="193"/>
      <c r="T9" s="193"/>
      <c r="U9" s="193"/>
      <c r="V9" s="193"/>
      <c r="W9" s="193"/>
      <c r="X9" s="193"/>
      <c r="Y9" s="193"/>
    </row>
    <row r="10" spans="1:26" s="191" customFormat="1">
      <c r="A10" s="198"/>
      <c r="B10" s="245" t="s">
        <v>124</v>
      </c>
      <c r="C10" s="203"/>
      <c r="D10" s="212">
        <f>SUM(D9:M9)</f>
        <v>381.33143999999999</v>
      </c>
      <c r="E10" s="212">
        <f>SUM(E9:N9)</f>
        <v>406.64287999999993</v>
      </c>
      <c r="F10" s="212">
        <f>SUM(F9:O9)</f>
        <v>432.94331999999997</v>
      </c>
      <c r="G10" s="212">
        <f>SUM(G9:P9)</f>
        <v>456.51083999999997</v>
      </c>
      <c r="H10" s="212">
        <f>SUM(H9:Q9)</f>
        <v>480.41431999999998</v>
      </c>
      <c r="I10" s="203"/>
      <c r="J10" s="203"/>
      <c r="K10" s="203"/>
      <c r="L10" s="203"/>
      <c r="M10" s="203"/>
      <c r="N10" s="203"/>
      <c r="O10" s="203"/>
      <c r="P10" s="203"/>
      <c r="Q10" s="203"/>
      <c r="R10" s="202"/>
    </row>
    <row r="11" spans="1:26" s="191" customFormat="1" ht="47.25">
      <c r="A11" s="198"/>
      <c r="B11" s="248" t="s">
        <v>122</v>
      </c>
      <c r="C11" s="213"/>
      <c r="D11" s="216"/>
      <c r="E11" s="216">
        <v>2</v>
      </c>
      <c r="F11" s="216">
        <v>5</v>
      </c>
      <c r="G11" s="216">
        <v>9</v>
      </c>
      <c r="H11" s="216">
        <v>14</v>
      </c>
      <c r="I11" s="216">
        <v>20</v>
      </c>
      <c r="J11" s="214">
        <v>23.5</v>
      </c>
      <c r="K11" s="214">
        <v>28</v>
      </c>
      <c r="L11" s="214">
        <v>32.5</v>
      </c>
      <c r="M11" s="214">
        <v>37</v>
      </c>
      <c r="N11" s="214">
        <v>41.5</v>
      </c>
      <c r="O11" s="214">
        <v>46</v>
      </c>
      <c r="P11" s="214">
        <v>50.5</v>
      </c>
      <c r="Q11" s="214">
        <v>55</v>
      </c>
      <c r="R11" s="215"/>
    </row>
    <row r="12" spans="1:26" s="191" customFormat="1" ht="16.5" thickBot="1">
      <c r="A12" s="198"/>
      <c r="B12" s="244" t="s">
        <v>124</v>
      </c>
      <c r="C12" s="213"/>
      <c r="D12" s="216">
        <f>SUM(D11:M11)</f>
        <v>171</v>
      </c>
      <c r="E12" s="216">
        <f>SUM(E11:N11)</f>
        <v>212.5</v>
      </c>
      <c r="F12" s="216">
        <f>SUM(F11:O11)</f>
        <v>256.5</v>
      </c>
      <c r="G12" s="216">
        <f>SUM(G11:P11)</f>
        <v>302</v>
      </c>
      <c r="H12" s="216">
        <f>SUM(H11:Q11)</f>
        <v>348</v>
      </c>
      <c r="I12" s="216"/>
      <c r="J12" s="216"/>
      <c r="K12" s="216"/>
      <c r="L12" s="216"/>
      <c r="M12" s="216"/>
      <c r="N12" s="216"/>
      <c r="O12" s="216"/>
      <c r="P12" s="216"/>
      <c r="Q12" s="216"/>
      <c r="R12" s="215"/>
    </row>
    <row r="13" spans="1:26" s="191" customFormat="1" ht="47.25">
      <c r="A13" s="233" t="s">
        <v>141</v>
      </c>
      <c r="B13" s="249" t="s">
        <v>143</v>
      </c>
      <c r="C13" s="234"/>
      <c r="D13" s="235">
        <v>50.4</v>
      </c>
      <c r="E13" s="235">
        <v>78.8</v>
      </c>
      <c r="F13" s="235">
        <v>82</v>
      </c>
      <c r="G13" s="235">
        <v>85.2</v>
      </c>
      <c r="H13" s="235">
        <v>88.8</v>
      </c>
      <c r="I13" s="235">
        <v>91.6</v>
      </c>
      <c r="J13" s="235">
        <v>95</v>
      </c>
      <c r="K13" s="235">
        <v>98.4</v>
      </c>
      <c r="L13" s="235">
        <v>101.9</v>
      </c>
      <c r="M13" s="235">
        <v>105.4</v>
      </c>
      <c r="N13" s="236">
        <v>113.446666666667</v>
      </c>
      <c r="O13" s="236">
        <v>118.118787878788</v>
      </c>
      <c r="P13" s="236">
        <v>122.790909090909</v>
      </c>
      <c r="Q13" s="236">
        <v>127.46303030303</v>
      </c>
      <c r="R13" s="237">
        <v>132.13515151515199</v>
      </c>
    </row>
    <row r="14" spans="1:26" s="191" customFormat="1" ht="16.5" thickBot="1">
      <c r="A14" s="232"/>
      <c r="B14" s="238" t="s">
        <v>124</v>
      </c>
      <c r="C14" s="217"/>
      <c r="D14" s="218">
        <f>SUM(D13:M13)</f>
        <v>877.49999999999989</v>
      </c>
      <c r="E14" s="218">
        <f t="shared" ref="E14:H14" si="6">SUM(E13:N13)</f>
        <v>940.54666666666685</v>
      </c>
      <c r="F14" s="218">
        <f t="shared" si="6"/>
        <v>979.8654545454549</v>
      </c>
      <c r="G14" s="218">
        <f t="shared" si="6"/>
        <v>1020.6563636363639</v>
      </c>
      <c r="H14" s="218">
        <f t="shared" si="6"/>
        <v>1062.919393939394</v>
      </c>
      <c r="I14" s="218"/>
      <c r="J14" s="218"/>
      <c r="K14" s="218"/>
      <c r="L14" s="218"/>
      <c r="M14" s="218"/>
      <c r="N14" s="229"/>
      <c r="O14" s="229"/>
      <c r="P14" s="229"/>
      <c r="Q14" s="229"/>
      <c r="R14" s="230"/>
    </row>
    <row r="15" spans="1:26" s="191" customFormat="1" ht="31.5">
      <c r="A15" s="221" t="s">
        <v>142</v>
      </c>
      <c r="B15" s="222" t="s">
        <v>144</v>
      </c>
      <c r="C15" s="212">
        <v>412.40699999999998</v>
      </c>
      <c r="D15" s="341">
        <v>344.16800000000001</v>
      </c>
      <c r="E15" s="341">
        <v>352.48500000000001</v>
      </c>
      <c r="F15" s="341">
        <v>407.32600000000002</v>
      </c>
      <c r="G15" s="341">
        <v>423.80599999999998</v>
      </c>
      <c r="H15" s="341">
        <v>465.74</v>
      </c>
      <c r="I15" s="341">
        <v>493.81</v>
      </c>
      <c r="J15" s="341">
        <v>523.38099999999997</v>
      </c>
      <c r="K15" s="341">
        <v>576.827</v>
      </c>
      <c r="L15" s="341">
        <v>564.12900000000002</v>
      </c>
      <c r="M15" s="212">
        <v>614.971</v>
      </c>
      <c r="N15" s="212">
        <v>660.56100000000004</v>
      </c>
      <c r="O15" s="209">
        <f>N15+($N$15-$C$15)/12</f>
        <v>681.2405</v>
      </c>
      <c r="P15" s="209">
        <f t="shared" ref="P15:R15" si="7">O15+($N$15-$C$15)/12</f>
        <v>701.92</v>
      </c>
      <c r="Q15" s="209">
        <f t="shared" si="7"/>
        <v>722.59949999999992</v>
      </c>
      <c r="R15" s="344">
        <f t="shared" si="7"/>
        <v>743.27899999999988</v>
      </c>
    </row>
    <row r="16" spans="1:26" s="195" customFormat="1" ht="31.5">
      <c r="B16" s="200" t="s">
        <v>89</v>
      </c>
      <c r="C16" s="203"/>
      <c r="D16" s="194">
        <f>D15/C15-1</f>
        <v>-0.16546518366565066</v>
      </c>
      <c r="E16" s="194">
        <f t="shared" ref="E16:R16" si="8">E15/D15-1</f>
        <v>2.4165523813951317E-2</v>
      </c>
      <c r="F16" s="194">
        <f t="shared" si="8"/>
        <v>0.15558392555711587</v>
      </c>
      <c r="G16" s="194">
        <f t="shared" si="8"/>
        <v>4.0458993533434962E-2</v>
      </c>
      <c r="H16" s="194">
        <f t="shared" si="8"/>
        <v>9.8946215957301353E-2</v>
      </c>
      <c r="I16" s="194">
        <f t="shared" si="8"/>
        <v>6.0269678361317469E-2</v>
      </c>
      <c r="J16" s="194">
        <f t="shared" si="8"/>
        <v>5.9883355946618977E-2</v>
      </c>
      <c r="K16" s="194">
        <f t="shared" si="8"/>
        <v>0.10211681356411484</v>
      </c>
      <c r="L16" s="194">
        <f t="shared" si="8"/>
        <v>-2.2013532653637924E-2</v>
      </c>
      <c r="M16" s="194">
        <f t="shared" si="8"/>
        <v>9.0124776425250186E-2</v>
      </c>
      <c r="N16" s="194">
        <f t="shared" si="8"/>
        <v>7.4133577030461639E-2</v>
      </c>
      <c r="O16" s="194">
        <f t="shared" si="8"/>
        <v>3.1305965686742043E-2</v>
      </c>
      <c r="P16" s="194">
        <f t="shared" si="8"/>
        <v>3.0355652665982058E-2</v>
      </c>
      <c r="Q16" s="194">
        <f t="shared" si="8"/>
        <v>2.9461334625028535E-2</v>
      </c>
      <c r="R16" s="199">
        <f t="shared" si="8"/>
        <v>2.8618204136592995E-2</v>
      </c>
    </row>
    <row r="17" spans="2:26" s="191" customFormat="1" ht="31.5">
      <c r="B17" s="200" t="s">
        <v>90</v>
      </c>
      <c r="C17" s="203"/>
      <c r="D17" s="210">
        <f t="shared" ref="D17:R17" si="9">D16-0.01</f>
        <v>-0.17546518366565067</v>
      </c>
      <c r="E17" s="210">
        <f t="shared" si="9"/>
        <v>1.4165523813951317E-2</v>
      </c>
      <c r="F17" s="210">
        <f t="shared" si="9"/>
        <v>0.14558392555711586</v>
      </c>
      <c r="G17" s="210">
        <f t="shared" si="9"/>
        <v>3.045899353343496E-2</v>
      </c>
      <c r="H17" s="210">
        <f t="shared" si="9"/>
        <v>8.8946215957301358E-2</v>
      </c>
      <c r="I17" s="210">
        <f t="shared" si="9"/>
        <v>5.0269678361317467E-2</v>
      </c>
      <c r="J17" s="210">
        <f t="shared" si="9"/>
        <v>4.9883355946618975E-2</v>
      </c>
      <c r="K17" s="210">
        <f t="shared" si="9"/>
        <v>9.2116813564114844E-2</v>
      </c>
      <c r="L17" s="210">
        <f t="shared" si="9"/>
        <v>-3.2013532653637926E-2</v>
      </c>
      <c r="M17" s="210">
        <f t="shared" si="9"/>
        <v>8.0124776425250191E-2</v>
      </c>
      <c r="N17" s="210">
        <f t="shared" si="9"/>
        <v>6.4133577030461644E-2</v>
      </c>
      <c r="O17" s="210">
        <f t="shared" si="9"/>
        <v>2.1305965686742041E-2</v>
      </c>
      <c r="P17" s="210">
        <f t="shared" si="9"/>
        <v>2.0355652665982056E-2</v>
      </c>
      <c r="Q17" s="210">
        <f t="shared" si="9"/>
        <v>1.9461334625028533E-2</v>
      </c>
      <c r="R17" s="211">
        <f t="shared" si="9"/>
        <v>1.8618204136592993E-2</v>
      </c>
    </row>
    <row r="18" spans="2:26" s="191" customFormat="1">
      <c r="B18" s="192"/>
      <c r="C18" s="203"/>
      <c r="D18" s="210"/>
      <c r="E18" s="210"/>
      <c r="F18" s="210"/>
      <c r="G18" s="210"/>
      <c r="H18" s="210"/>
      <c r="I18" s="210"/>
      <c r="J18" s="210"/>
      <c r="K18" s="210"/>
      <c r="L18" s="210"/>
      <c r="M18" s="210"/>
      <c r="N18" s="210"/>
      <c r="O18" s="210"/>
      <c r="P18" s="210"/>
      <c r="Q18" s="210"/>
      <c r="R18" s="211"/>
    </row>
    <row r="19" spans="2:26" s="195" customFormat="1" ht="31.5">
      <c r="B19" s="200" t="s">
        <v>174</v>
      </c>
      <c r="C19" s="203"/>
      <c r="D19" s="212">
        <f>C15*(1+D17)</f>
        <v>340.04392999999999</v>
      </c>
      <c r="E19" s="212">
        <f>D19*(1+E17)</f>
        <v>344.86083038820459</v>
      </c>
      <c r="F19" s="212">
        <f>E19*(1+F17)</f>
        <v>395.06702384700611</v>
      </c>
      <c r="G19" s="212">
        <f t="shared" ref="G19:R19" si="10">F19*(1+G17)</f>
        <v>407.10036777163549</v>
      </c>
      <c r="H19" s="212">
        <f t="shared" si="10"/>
        <v>443.31040499974819</v>
      </c>
      <c r="I19" s="212">
        <f t="shared" si="10"/>
        <v>465.5954764733109</v>
      </c>
      <c r="J19" s="212">
        <f t="shared" si="10"/>
        <v>488.82094135336473</v>
      </c>
      <c r="K19" s="212">
        <f t="shared" si="10"/>
        <v>533.84956887424778</v>
      </c>
      <c r="L19" s="212">
        <f t="shared" si="10"/>
        <v>516.75915826896153</v>
      </c>
      <c r="M19" s="212">
        <f t="shared" si="10"/>
        <v>558.16437029096255</v>
      </c>
      <c r="N19" s="212">
        <f>M19*(1+N17)</f>
        <v>593.9614479286771</v>
      </c>
      <c r="O19" s="212">
        <f t="shared" si="10"/>
        <v>606.61637015749307</v>
      </c>
      <c r="P19" s="212">
        <f t="shared" si="10"/>
        <v>618.96444228991777</v>
      </c>
      <c r="Q19" s="212">
        <f t="shared" si="10"/>
        <v>631.01031642231601</v>
      </c>
      <c r="R19" s="220">
        <f t="shared" si="10"/>
        <v>642.75859530576281</v>
      </c>
    </row>
    <row r="20" spans="2:26" s="195" customFormat="1" ht="31.5">
      <c r="B20" s="200" t="s">
        <v>175</v>
      </c>
      <c r="C20" s="203"/>
      <c r="D20" s="212"/>
      <c r="E20" s="212">
        <f>D15*(1+E17)</f>
        <v>349.04331999999999</v>
      </c>
      <c r="F20" s="212">
        <f>E20*(1+F17)</f>
        <v>399.85841671508854</v>
      </c>
      <c r="G20" s="212">
        <f t="shared" ref="G20:R20" si="11">F20*(1+G17)</f>
        <v>412.03770164410298</v>
      </c>
      <c r="H20" s="212">
        <f t="shared" si="11"/>
        <v>448.68689603708947</v>
      </c>
      <c r="I20" s="212">
        <f t="shared" si="11"/>
        <v>471.24224198581186</v>
      </c>
      <c r="J20" s="212">
        <f t="shared" si="11"/>
        <v>494.74938647987284</v>
      </c>
      <c r="K20" s="212">
        <f t="shared" si="11"/>
        <v>540.32412347519949</v>
      </c>
      <c r="L20" s="212">
        <f t="shared" si="11"/>
        <v>523.02643950477784</v>
      </c>
      <c r="M20" s="212">
        <f t="shared" si="11"/>
        <v>564.93381603459284</v>
      </c>
      <c r="N20" s="212">
        <f t="shared" si="11"/>
        <v>601.16504244236</v>
      </c>
      <c r="O20" s="212">
        <f t="shared" si="11"/>
        <v>613.9734442087057</v>
      </c>
      <c r="P20" s="212">
        <f t="shared" si="11"/>
        <v>626.47127438515486</v>
      </c>
      <c r="Q20" s="212">
        <f t="shared" si="11"/>
        <v>638.66324148893239</v>
      </c>
      <c r="R20" s="220">
        <f t="shared" si="11"/>
        <v>650.55400409351148</v>
      </c>
    </row>
    <row r="21" spans="2:26" s="195" customFormat="1" ht="31.5">
      <c r="B21" s="200" t="s">
        <v>177</v>
      </c>
      <c r="C21" s="203"/>
      <c r="D21" s="212"/>
      <c r="E21" s="212"/>
      <c r="F21" s="212">
        <f>E15*(1+F17)</f>
        <v>403.80115000000001</v>
      </c>
      <c r="G21" s="212">
        <f>F21*(1+G17)</f>
        <v>416.10052661664361</v>
      </c>
      <c r="H21" s="212">
        <f t="shared" ref="H21:R21" si="12">G21*(1+H17)</f>
        <v>453.1110939170344</v>
      </c>
      <c r="I21" s="212">
        <f t="shared" si="12"/>
        <v>475.8888428701884</v>
      </c>
      <c r="J21" s="212">
        <f t="shared" si="12"/>
        <v>499.62777541010661</v>
      </c>
      <c r="K21" s="212">
        <f t="shared" si="12"/>
        <v>545.65189404901287</v>
      </c>
      <c r="L21" s="212">
        <f t="shared" si="12"/>
        <v>528.18364932135546</v>
      </c>
      <c r="M21" s="212">
        <f t="shared" si="12"/>
        <v>570.50424613470182</v>
      </c>
      <c r="N21" s="212">
        <f t="shared" si="12"/>
        <v>607.0927241503872</v>
      </c>
      <c r="O21" s="212">
        <f t="shared" si="12"/>
        <v>620.02742089980609</v>
      </c>
      <c r="P21" s="212">
        <f t="shared" si="12"/>
        <v>632.6484837230272</v>
      </c>
      <c r="Q21" s="212">
        <f t="shared" si="12"/>
        <v>644.96066756477796</v>
      </c>
      <c r="R21" s="220">
        <f t="shared" si="12"/>
        <v>656.96867693357228</v>
      </c>
    </row>
    <row r="22" spans="2:26" s="195" customFormat="1" ht="31.5">
      <c r="B22" s="200" t="s">
        <v>176</v>
      </c>
      <c r="C22" s="203"/>
      <c r="D22" s="212"/>
      <c r="E22" s="212"/>
      <c r="F22" s="212"/>
      <c r="G22" s="212">
        <f>F15*(1+G17)</f>
        <v>419.73273999999992</v>
      </c>
      <c r="H22" s="212">
        <f>G22*(1+H17)</f>
        <v>457.06637893638975</v>
      </c>
      <c r="I22" s="212">
        <f t="shared" ref="I22:Q22" si="13">H22*(1+I17)</f>
        <v>480.04295879529411</v>
      </c>
      <c r="J22" s="212">
        <f t="shared" si="13"/>
        <v>503.98911257854792</v>
      </c>
      <c r="K22" s="212">
        <f t="shared" si="13"/>
        <v>550.41498370028967</v>
      </c>
      <c r="L22" s="212">
        <f t="shared" si="13"/>
        <v>532.79425564654889</v>
      </c>
      <c r="M22" s="212">
        <f t="shared" si="13"/>
        <v>575.48427626088619</v>
      </c>
      <c r="N22" s="212">
        <f t="shared" si="13"/>
        <v>612.3921414222832</v>
      </c>
      <c r="O22" s="212">
        <f t="shared" si="13"/>
        <v>625.43974737425685</v>
      </c>
      <c r="P22" s="212">
        <f t="shared" si="13"/>
        <v>638.17098163530682</v>
      </c>
      <c r="Q22" s="212">
        <f t="shared" si="13"/>
        <v>650.59064065689449</v>
      </c>
      <c r="R22" s="220">
        <f>Q22*(1+R17)</f>
        <v>662.70347001400137</v>
      </c>
    </row>
    <row r="23" spans="2:26" s="195" customFormat="1" ht="31.5">
      <c r="B23" s="200" t="s">
        <v>178</v>
      </c>
      <c r="C23" s="203"/>
      <c r="D23" s="212"/>
      <c r="E23" s="212"/>
      <c r="F23" s="212"/>
      <c r="G23" s="212"/>
      <c r="H23" s="212">
        <f>G15*(1+H17)</f>
        <v>461.50194000000005</v>
      </c>
      <c r="I23" s="212">
        <f>H23*(1+I17)</f>
        <v>484.70149408692407</v>
      </c>
      <c r="J23" s="212">
        <f t="shared" ref="J23:R23" si="14">I23*(1+J17)</f>
        <v>508.88003124432015</v>
      </c>
      <c r="K23" s="212">
        <f t="shared" si="14"/>
        <v>555.75643820895414</v>
      </c>
      <c r="L23" s="212">
        <f t="shared" si="14"/>
        <v>537.96471132688225</v>
      </c>
      <c r="M23" s="212">
        <f t="shared" si="14"/>
        <v>581.06901354662295</v>
      </c>
      <c r="N23" s="212">
        <f t="shared" si="14"/>
        <v>618.3350478869296</v>
      </c>
      <c r="O23" s="212">
        <f t="shared" si="14"/>
        <v>631.50927320011851</v>
      </c>
      <c r="P23" s="212">
        <f t="shared" si="14"/>
        <v>644.36405662072684</v>
      </c>
      <c r="Q23" s="212">
        <f t="shared" si="14"/>
        <v>656.90424114696361</v>
      </c>
      <c r="R23" s="220">
        <f t="shared" si="14"/>
        <v>669.13461840683146</v>
      </c>
    </row>
    <row r="24" spans="2:26" s="196" customFormat="1" ht="32.25" thickBot="1">
      <c r="B24" s="223" t="s">
        <v>91</v>
      </c>
      <c r="C24" s="224"/>
      <c r="D24" s="225">
        <f>SUM(D15:M15)-SUM(D19:M19)</f>
        <v>273.07092773255863</v>
      </c>
      <c r="E24" s="225">
        <f>SUM(E15:N15)-SUM(E20:N20)</f>
        <v>277.96861568110489</v>
      </c>
      <c r="F24" s="225">
        <f>SUM(F15:O15)-SUM(F21:O21)</f>
        <v>291.80217663076382</v>
      </c>
      <c r="G24" s="225">
        <f>SUM(G15:P15)-SUM(G22:P22)</f>
        <v>310.85792365019734</v>
      </c>
      <c r="H24" s="225">
        <f>SUM(H15:Q15)-SUM(H23:Q23)</f>
        <v>324.19275273155745</v>
      </c>
      <c r="I24" s="224"/>
      <c r="J24" s="224"/>
      <c r="K24" s="224"/>
      <c r="L24" s="224"/>
      <c r="M24" s="224"/>
      <c r="N24" s="224"/>
      <c r="O24" s="224"/>
      <c r="P24" s="224"/>
      <c r="Q24" s="224"/>
      <c r="R24" s="226"/>
      <c r="S24" s="195"/>
      <c r="T24" s="195"/>
      <c r="U24" s="195"/>
      <c r="V24" s="195"/>
      <c r="W24" s="195"/>
      <c r="X24" s="195"/>
      <c r="Y24" s="195"/>
      <c r="Z24" s="195"/>
    </row>
    <row r="25" spans="2:26" s="195" customFormat="1">
      <c r="B25" s="219"/>
      <c r="C25" s="203"/>
      <c r="D25" s="212"/>
      <c r="E25" s="212"/>
      <c r="F25" s="212"/>
      <c r="G25" s="212"/>
      <c r="H25" s="212"/>
      <c r="I25" s="203"/>
      <c r="J25" s="203"/>
      <c r="K25" s="203"/>
      <c r="L25" s="203"/>
      <c r="M25" s="203"/>
      <c r="N25" s="203"/>
      <c r="O25" s="203"/>
      <c r="P25" s="203"/>
      <c r="Q25" s="203"/>
      <c r="R25" s="203"/>
    </row>
    <row r="26" spans="2:26" s="195" customFormat="1">
      <c r="B26" s="219"/>
      <c r="C26" s="203"/>
      <c r="D26" s="212"/>
      <c r="E26" s="212"/>
      <c r="F26" s="212"/>
      <c r="G26" s="212"/>
      <c r="H26" s="212"/>
      <c r="I26" s="203"/>
      <c r="J26" s="203"/>
      <c r="K26" s="203"/>
      <c r="L26" s="203"/>
      <c r="M26" s="203"/>
      <c r="N26" s="203"/>
      <c r="O26" s="203"/>
      <c r="P26" s="203"/>
      <c r="Q26" s="203"/>
      <c r="R26" s="203"/>
    </row>
    <row r="27" spans="2:26">
      <c r="B27" s="181" t="s">
        <v>139</v>
      </c>
    </row>
    <row r="28" spans="2:26" ht="32.450000000000003" customHeight="1">
      <c r="B28" s="362" t="s">
        <v>179</v>
      </c>
      <c r="C28" s="362"/>
      <c r="D28" s="362"/>
      <c r="E28" s="362"/>
      <c r="F28" s="362"/>
      <c r="G28" s="362"/>
      <c r="H28" s="362"/>
      <c r="I28" s="362"/>
      <c r="J28" s="362"/>
      <c r="K28" s="362"/>
      <c r="L28" s="362"/>
      <c r="M28" s="362"/>
      <c r="N28" s="362"/>
      <c r="O28" s="362"/>
      <c r="P28" s="362"/>
      <c r="Q28" s="362"/>
      <c r="R28" s="362"/>
    </row>
    <row r="29" spans="2:26">
      <c r="B29" s="181" t="s">
        <v>140</v>
      </c>
    </row>
    <row r="30" spans="2:26">
      <c r="B30" s="181" t="s">
        <v>145</v>
      </c>
    </row>
    <row r="31" spans="2:26" ht="32.450000000000003" customHeight="1">
      <c r="B31" s="362" t="s">
        <v>180</v>
      </c>
      <c r="C31" s="362"/>
      <c r="D31" s="362"/>
      <c r="E31" s="362"/>
      <c r="F31" s="362"/>
      <c r="G31" s="362"/>
      <c r="H31" s="362"/>
      <c r="I31" s="362"/>
      <c r="J31" s="362"/>
      <c r="K31" s="362"/>
      <c r="L31" s="362"/>
      <c r="M31" s="362"/>
      <c r="N31" s="362"/>
      <c r="O31" s="362"/>
      <c r="P31" s="362"/>
      <c r="Q31" s="362"/>
      <c r="R31" s="362"/>
    </row>
  </sheetData>
  <mergeCells count="2">
    <mergeCell ref="B28:R28"/>
    <mergeCell ref="B31:R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29FE8-EB01-48B2-A2EC-1BFC7C6E1AA1}">
  <dimension ref="A1:S51"/>
  <sheetViews>
    <sheetView topLeftCell="A9" workbookViewId="0">
      <selection activeCell="S14" sqref="S14"/>
    </sheetView>
  </sheetViews>
  <sheetFormatPr defaultRowHeight="15"/>
  <cols>
    <col min="4" max="4" width="29.7109375" customWidth="1"/>
  </cols>
  <sheetData>
    <row r="1" spans="1:17" ht="15.75" thickTop="1">
      <c r="A1" s="365" t="s">
        <v>46</v>
      </c>
      <c r="B1" s="366"/>
      <c r="C1" s="366"/>
      <c r="D1" s="366"/>
      <c r="E1" s="366"/>
      <c r="F1" s="366"/>
      <c r="G1" s="366"/>
      <c r="H1" s="366"/>
      <c r="I1" s="366"/>
      <c r="J1" s="366"/>
      <c r="K1" s="366"/>
      <c r="L1" s="366"/>
      <c r="M1" s="366"/>
      <c r="N1" s="366"/>
      <c r="O1" s="366"/>
      <c r="P1" s="367"/>
    </row>
    <row r="2" spans="1:17">
      <c r="A2" s="368" t="s">
        <v>47</v>
      </c>
      <c r="B2" s="369"/>
      <c r="C2" s="369"/>
      <c r="D2" s="369"/>
      <c r="E2" s="369"/>
      <c r="F2" s="369"/>
      <c r="G2" s="369"/>
      <c r="H2" s="369"/>
      <c r="I2" s="369"/>
      <c r="J2" s="369"/>
      <c r="K2" s="369"/>
      <c r="L2" s="369"/>
      <c r="M2" s="369"/>
      <c r="N2" s="369"/>
      <c r="O2" s="369"/>
      <c r="P2" s="370"/>
    </row>
    <row r="3" spans="1:17">
      <c r="A3" s="371" t="s">
        <v>48</v>
      </c>
      <c r="B3" s="372"/>
      <c r="C3" s="372"/>
      <c r="D3" s="372"/>
      <c r="E3" s="372"/>
      <c r="F3" s="372"/>
      <c r="G3" s="372"/>
      <c r="H3" s="372"/>
      <c r="I3" s="372"/>
      <c r="J3" s="372"/>
      <c r="K3" s="372"/>
      <c r="L3" s="372"/>
      <c r="M3" s="372"/>
      <c r="N3" s="372"/>
      <c r="O3" s="372"/>
      <c r="P3" s="373"/>
      <c r="Q3" s="289"/>
    </row>
    <row r="4" spans="1:17">
      <c r="A4" s="42"/>
      <c r="B4" s="274"/>
      <c r="C4" s="274"/>
      <c r="D4" s="274"/>
      <c r="E4" s="275"/>
      <c r="F4" s="275"/>
      <c r="G4" s="274"/>
      <c r="H4" s="274"/>
      <c r="I4" s="274"/>
      <c r="J4" s="274"/>
      <c r="K4" s="274"/>
      <c r="L4" s="274"/>
      <c r="M4" s="274"/>
      <c r="N4" s="274"/>
      <c r="O4" s="274"/>
      <c r="P4" s="43"/>
    </row>
    <row r="5" spans="1:17" ht="15.75">
      <c r="A5" s="292"/>
      <c r="B5" s="255"/>
      <c r="C5" s="255"/>
      <c r="D5" s="255"/>
      <c r="E5" s="276" t="s">
        <v>49</v>
      </c>
      <c r="F5" s="255"/>
      <c r="G5" s="277"/>
      <c r="H5" s="277"/>
      <c r="I5" s="277"/>
      <c r="J5" s="277"/>
      <c r="K5" s="277"/>
      <c r="L5" s="277"/>
      <c r="M5" s="277"/>
      <c r="N5" s="277"/>
      <c r="O5" s="277"/>
      <c r="P5" s="285"/>
    </row>
    <row r="6" spans="1:17">
      <c r="A6" s="293"/>
      <c r="B6" s="278"/>
      <c r="C6" s="278"/>
      <c r="D6" s="278"/>
      <c r="E6" s="279">
        <v>2020</v>
      </c>
      <c r="F6" s="280">
        <f>E6+1</f>
        <v>2021</v>
      </c>
      <c r="G6" s="280">
        <f t="shared" ref="G6:P6" si="0">F6+1</f>
        <v>2022</v>
      </c>
      <c r="H6" s="280">
        <f t="shared" si="0"/>
        <v>2023</v>
      </c>
      <c r="I6" s="280">
        <f t="shared" si="0"/>
        <v>2024</v>
      </c>
      <c r="J6" s="280">
        <f t="shared" si="0"/>
        <v>2025</v>
      </c>
      <c r="K6" s="280">
        <f t="shared" si="0"/>
        <v>2026</v>
      </c>
      <c r="L6" s="280">
        <f t="shared" si="0"/>
        <v>2027</v>
      </c>
      <c r="M6" s="280">
        <f t="shared" si="0"/>
        <v>2028</v>
      </c>
      <c r="N6" s="280">
        <f t="shared" si="0"/>
        <v>2029</v>
      </c>
      <c r="O6" s="280">
        <f t="shared" si="0"/>
        <v>2030</v>
      </c>
      <c r="P6" s="286">
        <f t="shared" si="0"/>
        <v>2031</v>
      </c>
    </row>
    <row r="7" spans="1:17">
      <c r="A7" s="294" t="s">
        <v>50</v>
      </c>
      <c r="B7" s="281"/>
      <c r="C7" s="281"/>
      <c r="D7" s="281"/>
      <c r="E7" s="282"/>
      <c r="F7" s="282"/>
      <c r="G7" s="282"/>
      <c r="H7" s="282"/>
      <c r="I7" s="282"/>
      <c r="J7" s="282"/>
      <c r="K7" s="282"/>
      <c r="L7" s="282"/>
      <c r="M7" s="282"/>
      <c r="N7" s="282"/>
      <c r="O7" s="282"/>
      <c r="P7" s="287"/>
    </row>
    <row r="8" spans="1:17" ht="17.25">
      <c r="A8" s="294"/>
      <c r="B8" s="281" t="s">
        <v>147</v>
      </c>
      <c r="C8" s="281"/>
      <c r="D8" s="255"/>
      <c r="E8" s="282">
        <v>134.416</v>
      </c>
      <c r="F8" s="282">
        <v>135.62899999999999</v>
      </c>
      <c r="G8" s="282">
        <v>133.41499999999999</v>
      </c>
      <c r="H8" s="282">
        <v>103.962</v>
      </c>
      <c r="I8" s="282">
        <v>74.528000000000006</v>
      </c>
      <c r="J8" s="282">
        <v>20.908999999999999</v>
      </c>
      <c r="K8" s="282">
        <v>0</v>
      </c>
      <c r="L8" s="282">
        <v>0</v>
      </c>
      <c r="M8" s="282">
        <v>0</v>
      </c>
      <c r="N8" s="282">
        <v>0</v>
      </c>
      <c r="O8" s="282">
        <v>0</v>
      </c>
      <c r="P8" s="287">
        <v>0</v>
      </c>
    </row>
    <row r="9" spans="1:17" ht="15.75">
      <c r="A9" s="294"/>
      <c r="B9" s="281" t="s">
        <v>52</v>
      </c>
      <c r="C9" s="281"/>
      <c r="D9" s="255"/>
      <c r="E9" s="282">
        <v>87.477000000000004</v>
      </c>
      <c r="F9" s="282">
        <v>166.40899999999999</v>
      </c>
      <c r="G9" s="282">
        <v>141.172</v>
      </c>
      <c r="H9" s="282">
        <v>126.255</v>
      </c>
      <c r="I9" s="282">
        <v>138.072</v>
      </c>
      <c r="J9" s="282">
        <v>147.084</v>
      </c>
      <c r="K9" s="282">
        <v>156.18899999999999</v>
      </c>
      <c r="L9" s="282">
        <v>177.119</v>
      </c>
      <c r="M9" s="282">
        <v>166.15199999999999</v>
      </c>
      <c r="N9" s="282">
        <v>198.744</v>
      </c>
      <c r="O9" s="282">
        <v>205.43700000000001</v>
      </c>
      <c r="P9" s="287">
        <v>213.54900000000001</v>
      </c>
    </row>
    <row r="10" spans="1:17" ht="4.5" customHeight="1">
      <c r="A10" s="295"/>
      <c r="B10" s="283"/>
      <c r="C10" s="283"/>
      <c r="D10" s="283"/>
      <c r="E10" s="284" t="s">
        <v>53</v>
      </c>
      <c r="F10" s="284" t="s">
        <v>53</v>
      </c>
      <c r="G10" s="284" t="s">
        <v>53</v>
      </c>
      <c r="H10" s="284" t="s">
        <v>53</v>
      </c>
      <c r="I10" s="284" t="s">
        <v>53</v>
      </c>
      <c r="J10" s="284" t="s">
        <v>53</v>
      </c>
      <c r="K10" s="284" t="s">
        <v>53</v>
      </c>
      <c r="L10" s="284" t="s">
        <v>53</v>
      </c>
      <c r="M10" s="284" t="s">
        <v>53</v>
      </c>
      <c r="N10" s="284" t="s">
        <v>53</v>
      </c>
      <c r="O10" s="284" t="s">
        <v>53</v>
      </c>
      <c r="P10" s="51" t="s">
        <v>53</v>
      </c>
    </row>
    <row r="11" spans="1:17">
      <c r="A11" s="294"/>
      <c r="B11" s="281"/>
      <c r="C11" s="374" t="s">
        <v>54</v>
      </c>
      <c r="D11" s="374"/>
      <c r="E11" s="282">
        <v>221.893</v>
      </c>
      <c r="F11" s="282">
        <v>302.03800000000001</v>
      </c>
      <c r="G11" s="282">
        <v>274.58699999999999</v>
      </c>
      <c r="H11" s="282">
        <v>230.21699999999998</v>
      </c>
      <c r="I11" s="282">
        <v>212.60000000000002</v>
      </c>
      <c r="J11" s="282">
        <v>167.99299999999999</v>
      </c>
      <c r="K11" s="282">
        <v>156.18899999999999</v>
      </c>
      <c r="L11" s="282">
        <v>177.119</v>
      </c>
      <c r="M11" s="282">
        <v>166.15199999999999</v>
      </c>
      <c r="N11" s="282">
        <v>198.744</v>
      </c>
      <c r="O11" s="282">
        <v>205.43700000000001</v>
      </c>
      <c r="P11" s="287">
        <v>213.54900000000001</v>
      </c>
    </row>
    <row r="12" spans="1:17" ht="15.75" thickBot="1">
      <c r="A12" s="296"/>
      <c r="B12" s="290"/>
      <c r="C12" s="290"/>
      <c r="D12" s="290"/>
      <c r="E12" s="290"/>
      <c r="F12" s="290"/>
      <c r="G12" s="290"/>
      <c r="H12" s="290"/>
      <c r="I12" s="290"/>
      <c r="J12" s="290"/>
      <c r="K12" s="290"/>
      <c r="L12" s="290"/>
      <c r="M12" s="290"/>
      <c r="N12" s="290"/>
      <c r="O12" s="290"/>
      <c r="P12" s="291"/>
    </row>
    <row r="13" spans="1:17" ht="15.75" thickTop="1">
      <c r="A13" s="375" t="s">
        <v>55</v>
      </c>
      <c r="B13" s="375"/>
      <c r="C13" s="375"/>
      <c r="D13" s="375"/>
      <c r="E13" s="375"/>
      <c r="F13" s="375"/>
      <c r="G13" s="375"/>
      <c r="H13" s="375"/>
      <c r="I13" s="375"/>
      <c r="J13" s="375"/>
      <c r="K13" s="375"/>
      <c r="L13" s="375"/>
      <c r="M13" s="375"/>
      <c r="N13" s="375"/>
      <c r="O13" s="375"/>
      <c r="P13" s="375"/>
    </row>
    <row r="14" spans="1:17" ht="62.25" customHeight="1">
      <c r="A14" s="377" t="s">
        <v>149</v>
      </c>
      <c r="B14" s="377"/>
      <c r="C14" s="377"/>
      <c r="D14" s="377"/>
      <c r="E14" s="377"/>
      <c r="F14" s="377"/>
      <c r="G14" s="377"/>
      <c r="H14" s="377"/>
      <c r="I14" s="377"/>
      <c r="J14" s="377"/>
      <c r="K14" s="377"/>
      <c r="L14" s="377"/>
      <c r="M14" s="377"/>
      <c r="N14" s="377"/>
      <c r="O14" s="377"/>
      <c r="P14" s="377"/>
    </row>
    <row r="15" spans="1:17">
      <c r="A15" s="376" t="s">
        <v>148</v>
      </c>
      <c r="B15" s="376"/>
      <c r="C15" s="376"/>
      <c r="D15" s="376"/>
      <c r="E15" s="376"/>
      <c r="F15" s="376"/>
      <c r="G15" s="376"/>
      <c r="H15" s="376"/>
      <c r="I15" s="376"/>
      <c r="J15" s="376"/>
      <c r="K15" s="376"/>
      <c r="L15" s="376"/>
      <c r="M15" s="376"/>
      <c r="N15" s="376"/>
      <c r="O15" s="376"/>
      <c r="P15" s="376"/>
    </row>
    <row r="16" spans="1:17" ht="15.75" thickBot="1"/>
    <row r="17" spans="1:19" ht="15.75" thickTop="1">
      <c r="A17" s="299" t="s">
        <v>57</v>
      </c>
      <c r="B17" s="300"/>
      <c r="C17" s="300"/>
      <c r="D17" s="300"/>
      <c r="E17" s="300"/>
      <c r="F17" s="300"/>
      <c r="G17" s="300"/>
      <c r="H17" s="300"/>
      <c r="I17" s="300"/>
      <c r="J17" s="300"/>
      <c r="K17" s="300"/>
      <c r="L17" s="300"/>
      <c r="M17" s="300"/>
      <c r="N17" s="300"/>
      <c r="O17" s="300"/>
      <c r="P17" s="300"/>
      <c r="Q17" s="300"/>
      <c r="R17" s="301"/>
      <c r="S17" s="257"/>
    </row>
    <row r="18" spans="1:19">
      <c r="A18" s="302" t="s">
        <v>58</v>
      </c>
      <c r="B18" s="303"/>
      <c r="C18" s="303"/>
      <c r="D18" s="303"/>
      <c r="E18" s="303"/>
      <c r="F18" s="303"/>
      <c r="G18" s="303"/>
      <c r="H18" s="303"/>
      <c r="I18" s="303"/>
      <c r="J18" s="303"/>
      <c r="K18" s="303"/>
      <c r="L18" s="303"/>
      <c r="M18" s="303"/>
      <c r="N18" s="303"/>
      <c r="O18" s="303"/>
      <c r="P18" s="303"/>
      <c r="Q18" s="303"/>
      <c r="R18" s="304"/>
      <c r="S18" s="257"/>
    </row>
    <row r="19" spans="1:19">
      <c r="A19" s="306" t="s">
        <v>48</v>
      </c>
      <c r="B19" s="298"/>
      <c r="C19" s="298"/>
      <c r="D19" s="298"/>
      <c r="E19" s="298"/>
      <c r="F19" s="298"/>
      <c r="G19" s="298"/>
      <c r="H19" s="298"/>
      <c r="I19" s="298"/>
      <c r="J19" s="298"/>
      <c r="K19" s="298"/>
      <c r="L19" s="298"/>
      <c r="M19" s="298"/>
      <c r="N19" s="298"/>
      <c r="O19" s="298"/>
      <c r="P19" s="298"/>
      <c r="Q19" s="298"/>
      <c r="R19" s="312"/>
      <c r="S19" s="257"/>
    </row>
    <row r="20" spans="1:19">
      <c r="A20" s="305"/>
      <c r="B20" s="303"/>
      <c r="C20" s="303"/>
      <c r="D20" s="303"/>
      <c r="E20" s="303"/>
      <c r="F20" s="303"/>
      <c r="G20" s="303"/>
      <c r="H20" s="303"/>
      <c r="I20" s="303"/>
      <c r="J20" s="303"/>
      <c r="K20" s="303"/>
      <c r="L20" s="303"/>
      <c r="M20" s="303"/>
      <c r="N20" s="303"/>
      <c r="O20" s="303"/>
      <c r="P20" s="303"/>
      <c r="Q20" s="303"/>
      <c r="R20" s="304"/>
      <c r="S20" s="257"/>
    </row>
    <row r="21" spans="1:19">
      <c r="A21" s="305"/>
      <c r="B21" s="303"/>
      <c r="C21" s="303"/>
      <c r="D21" s="303"/>
      <c r="E21" s="303"/>
      <c r="F21" s="303"/>
      <c r="G21" s="303"/>
      <c r="H21" s="303"/>
      <c r="I21" s="303"/>
      <c r="J21" s="303"/>
      <c r="K21" s="303"/>
      <c r="L21" s="303"/>
      <c r="M21" s="303"/>
      <c r="N21" s="303"/>
      <c r="O21" s="303"/>
      <c r="P21" s="303"/>
      <c r="Q21" s="363" t="s">
        <v>59</v>
      </c>
      <c r="R21" s="364"/>
      <c r="S21" s="257"/>
    </row>
    <row r="22" spans="1:19">
      <c r="A22" s="305"/>
      <c r="B22" s="303"/>
      <c r="C22" s="303"/>
      <c r="D22" s="303"/>
      <c r="E22" s="303" t="s">
        <v>49</v>
      </c>
      <c r="F22" s="303"/>
      <c r="G22" s="303"/>
      <c r="H22" s="303"/>
      <c r="I22" s="303"/>
      <c r="J22" s="303"/>
      <c r="K22" s="303"/>
      <c r="L22" s="303"/>
      <c r="M22" s="303"/>
      <c r="N22" s="303"/>
      <c r="O22" s="303"/>
      <c r="P22" s="303"/>
      <c r="Q22" s="262" t="s">
        <v>150</v>
      </c>
      <c r="R22" s="62" t="s">
        <v>150</v>
      </c>
      <c r="S22" s="257"/>
    </row>
    <row r="23" spans="1:19">
      <c r="A23" s="306"/>
      <c r="B23" s="298"/>
      <c r="C23" s="298"/>
      <c r="D23" s="298"/>
      <c r="E23" s="298">
        <v>2020</v>
      </c>
      <c r="F23" s="298">
        <v>2021</v>
      </c>
      <c r="G23" s="298">
        <v>2022</v>
      </c>
      <c r="H23" s="298">
        <v>2023</v>
      </c>
      <c r="I23" s="298">
        <v>2024</v>
      </c>
      <c r="J23" s="298">
        <v>2025</v>
      </c>
      <c r="K23" s="298">
        <v>2026</v>
      </c>
      <c r="L23" s="298">
        <v>2027</v>
      </c>
      <c r="M23" s="298">
        <v>2028</v>
      </c>
      <c r="N23" s="298">
        <v>2029</v>
      </c>
      <c r="O23" s="298">
        <v>2030</v>
      </c>
      <c r="P23" s="298">
        <v>2031</v>
      </c>
      <c r="Q23" s="297">
        <v>2026</v>
      </c>
      <c r="R23" s="307">
        <v>2031</v>
      </c>
      <c r="S23" s="257"/>
    </row>
    <row r="24" spans="1:19">
      <c r="A24" s="250" t="s">
        <v>50</v>
      </c>
      <c r="B24" s="264"/>
      <c r="C24" s="264"/>
      <c r="D24" s="264"/>
      <c r="E24" s="308"/>
      <c r="F24" s="95"/>
      <c r="G24" s="95"/>
      <c r="H24" s="95"/>
      <c r="I24" s="95"/>
      <c r="J24" s="95"/>
      <c r="K24" s="95"/>
      <c r="L24" s="95"/>
      <c r="M24" s="95"/>
      <c r="N24" s="95"/>
      <c r="O24" s="95"/>
      <c r="P24" s="95"/>
      <c r="Q24" s="95"/>
      <c r="R24" s="66"/>
    </row>
    <row r="25" spans="1:19" ht="17.25">
      <c r="A25" s="59"/>
      <c r="B25" s="263" t="s">
        <v>61</v>
      </c>
      <c r="C25" s="263"/>
      <c r="D25" s="264"/>
      <c r="E25" s="308">
        <v>-64.209000000000003</v>
      </c>
      <c r="F25" s="308">
        <v>1.2130000000000001</v>
      </c>
      <c r="G25" s="308">
        <v>-2.214</v>
      </c>
      <c r="H25" s="308">
        <v>-29.452999999999999</v>
      </c>
      <c r="I25" s="308">
        <v>-29.434000000000001</v>
      </c>
      <c r="J25" s="308">
        <v>-53.619</v>
      </c>
      <c r="K25" s="308">
        <v>-61.811999999999998</v>
      </c>
      <c r="L25" s="308">
        <v>-69.231999999999999</v>
      </c>
      <c r="M25" s="308">
        <v>-103.667</v>
      </c>
      <c r="N25" s="308">
        <v>-71.975999999999999</v>
      </c>
      <c r="O25" s="308">
        <v>-103.157</v>
      </c>
      <c r="P25" s="308">
        <v>-127.96299999999999</v>
      </c>
      <c r="Q25" s="308">
        <v>-176.53199999999998</v>
      </c>
      <c r="R25" s="309">
        <v>-652.52699999999993</v>
      </c>
    </row>
    <row r="26" spans="1:19">
      <c r="A26" s="59"/>
      <c r="B26" s="261" t="s">
        <v>52</v>
      </c>
      <c r="C26" s="261"/>
      <c r="D26" s="260"/>
      <c r="E26" s="308">
        <v>-19.715999999999994</v>
      </c>
      <c r="F26" s="308">
        <v>78.932000000000002</v>
      </c>
      <c r="G26" s="308">
        <v>-25.236999999999998</v>
      </c>
      <c r="H26" s="308">
        <v>-14.917</v>
      </c>
      <c r="I26" s="308">
        <v>11.817</v>
      </c>
      <c r="J26" s="308">
        <v>9.0120000000000005</v>
      </c>
      <c r="K26" s="308">
        <v>9.1050000000000004</v>
      </c>
      <c r="L26" s="308">
        <v>20.93</v>
      </c>
      <c r="M26" s="308">
        <v>-10.967000000000001</v>
      </c>
      <c r="N26" s="308">
        <v>32.591999999999999</v>
      </c>
      <c r="O26" s="308">
        <v>6.6929999999999996</v>
      </c>
      <c r="P26" s="308">
        <v>8.1120000000000001</v>
      </c>
      <c r="Q26" s="308">
        <v>-10.219999999999995</v>
      </c>
      <c r="R26" s="309">
        <v>47.14</v>
      </c>
    </row>
    <row r="27" spans="1:19" ht="3.75" customHeight="1">
      <c r="A27" s="70"/>
      <c r="B27" s="266"/>
      <c r="C27" s="266"/>
      <c r="D27" s="265"/>
      <c r="E27" s="71" t="s">
        <v>62</v>
      </c>
      <c r="F27" s="71" t="s">
        <v>53</v>
      </c>
      <c r="G27" s="71" t="s">
        <v>53</v>
      </c>
      <c r="H27" s="71" t="s">
        <v>53</v>
      </c>
      <c r="I27" s="71" t="s">
        <v>53</v>
      </c>
      <c r="J27" s="71" t="s">
        <v>53</v>
      </c>
      <c r="K27" s="71" t="s">
        <v>53</v>
      </c>
      <c r="L27" s="71" t="s">
        <v>53</v>
      </c>
      <c r="M27" s="71" t="s">
        <v>53</v>
      </c>
      <c r="N27" s="71" t="s">
        <v>53</v>
      </c>
      <c r="O27" s="71" t="s">
        <v>53</v>
      </c>
      <c r="P27" s="71" t="s">
        <v>62</v>
      </c>
      <c r="Q27" s="71" t="s">
        <v>62</v>
      </c>
      <c r="R27" s="72" t="s">
        <v>62</v>
      </c>
    </row>
    <row r="28" spans="1:19" ht="15.75" thickBot="1">
      <c r="A28" s="73"/>
      <c r="B28" s="74"/>
      <c r="C28" s="74"/>
      <c r="D28" s="251" t="s">
        <v>54</v>
      </c>
      <c r="E28" s="310">
        <v>-83.924999999999997</v>
      </c>
      <c r="F28" s="310">
        <v>80.144999999999996</v>
      </c>
      <c r="G28" s="310">
        <v>-27.450999999999997</v>
      </c>
      <c r="H28" s="310">
        <v>-44.37</v>
      </c>
      <c r="I28" s="310">
        <v>-17.617000000000001</v>
      </c>
      <c r="J28" s="310">
        <v>-44.606999999999999</v>
      </c>
      <c r="K28" s="310">
        <v>-52.706999999999994</v>
      </c>
      <c r="L28" s="310">
        <v>-48.302</v>
      </c>
      <c r="M28" s="310">
        <v>-114.634</v>
      </c>
      <c r="N28" s="310">
        <v>-39.384</v>
      </c>
      <c r="O28" s="310">
        <v>-96.463999999999999</v>
      </c>
      <c r="P28" s="310">
        <v>-119.851</v>
      </c>
      <c r="Q28" s="310">
        <v>-186.75200000000001</v>
      </c>
      <c r="R28" s="311">
        <v>-605.38699999999994</v>
      </c>
    </row>
    <row r="29" spans="1:19" ht="15.75" thickTop="1"/>
    <row r="30" spans="1:19" ht="48" customHeight="1">
      <c r="A30" s="380" t="s">
        <v>151</v>
      </c>
      <c r="B30" s="380"/>
      <c r="C30" s="380"/>
      <c r="D30" s="380"/>
      <c r="E30" s="380"/>
      <c r="F30" s="380"/>
      <c r="G30" s="380"/>
      <c r="H30" s="380"/>
      <c r="I30" s="380"/>
      <c r="J30" s="380"/>
      <c r="K30" s="380"/>
      <c r="L30" s="380"/>
      <c r="M30" s="380"/>
      <c r="N30" s="380"/>
      <c r="O30" s="380"/>
      <c r="P30" s="380"/>
      <c r="Q30" s="380"/>
      <c r="R30" s="380"/>
      <c r="S30" s="380"/>
    </row>
    <row r="31" spans="1:19" ht="15.75" thickBot="1"/>
    <row r="32" spans="1:19" ht="15.75" thickTop="1">
      <c r="A32" s="381" t="s">
        <v>66</v>
      </c>
      <c r="B32" s="382"/>
      <c r="C32" s="382"/>
      <c r="D32" s="382"/>
      <c r="E32" s="382"/>
      <c r="F32" s="382"/>
      <c r="G32" s="382"/>
      <c r="H32" s="382"/>
      <c r="I32" s="382"/>
      <c r="J32" s="382"/>
      <c r="K32" s="382"/>
      <c r="L32" s="382"/>
      <c r="M32" s="382"/>
      <c r="N32" s="382"/>
      <c r="O32" s="382"/>
      <c r="P32" s="382"/>
      <c r="Q32" s="382"/>
      <c r="R32" s="313"/>
    </row>
    <row r="33" spans="1:18">
      <c r="A33" s="383" t="s">
        <v>152</v>
      </c>
      <c r="B33" s="384"/>
      <c r="C33" s="384"/>
      <c r="D33" s="384"/>
      <c r="E33" s="384"/>
      <c r="F33" s="384"/>
      <c r="G33" s="384"/>
      <c r="H33" s="384"/>
      <c r="I33" s="384"/>
      <c r="J33" s="384"/>
      <c r="K33" s="384"/>
      <c r="L33" s="384"/>
      <c r="M33" s="384"/>
      <c r="N33" s="384"/>
      <c r="O33" s="384"/>
      <c r="P33" s="384"/>
      <c r="Q33" s="384"/>
      <c r="R33" s="288"/>
    </row>
    <row r="34" spans="1:18">
      <c r="A34" s="385" t="s">
        <v>48</v>
      </c>
      <c r="B34" s="386"/>
      <c r="C34" s="386"/>
      <c r="D34" s="386"/>
      <c r="E34" s="386"/>
      <c r="F34" s="386"/>
      <c r="G34" s="386"/>
      <c r="H34" s="386"/>
      <c r="I34" s="386"/>
      <c r="J34" s="386"/>
      <c r="K34" s="386"/>
      <c r="L34" s="386"/>
      <c r="M34" s="386"/>
      <c r="N34" s="386"/>
      <c r="O34" s="386"/>
      <c r="P34" s="386"/>
      <c r="Q34" s="386"/>
      <c r="R34" s="288"/>
    </row>
    <row r="35" spans="1:18">
      <c r="A35" s="59"/>
      <c r="B35" s="260"/>
      <c r="C35" s="261"/>
      <c r="D35" s="261"/>
      <c r="E35" s="261"/>
      <c r="F35" s="261"/>
      <c r="G35" s="261"/>
      <c r="H35" s="261"/>
      <c r="I35" s="261"/>
      <c r="J35" s="261"/>
      <c r="K35" s="261"/>
      <c r="L35" s="261"/>
      <c r="M35" s="261"/>
      <c r="N35" s="261"/>
      <c r="O35" s="261"/>
      <c r="P35" s="267"/>
      <c r="Q35" s="267"/>
      <c r="R35" s="97"/>
    </row>
    <row r="36" spans="1:18" ht="15.75">
      <c r="A36" s="292"/>
      <c r="B36" s="314"/>
      <c r="C36" s="61"/>
      <c r="D36" s="61"/>
      <c r="E36" s="314"/>
      <c r="F36" s="261"/>
      <c r="G36" s="261"/>
      <c r="H36" s="261"/>
      <c r="I36" s="261"/>
      <c r="J36" s="261"/>
      <c r="K36" s="261"/>
      <c r="L36" s="261"/>
      <c r="M36" s="261"/>
      <c r="N36" s="261"/>
      <c r="O36" s="261"/>
      <c r="P36" s="261"/>
      <c r="Q36" s="363" t="s">
        <v>59</v>
      </c>
      <c r="R36" s="364"/>
    </row>
    <row r="37" spans="1:18" ht="15.75">
      <c r="A37" s="292"/>
      <c r="B37" s="314"/>
      <c r="C37" s="61"/>
      <c r="D37" s="61"/>
      <c r="E37" s="256" t="s">
        <v>49</v>
      </c>
      <c r="F37" s="314"/>
      <c r="G37" s="315"/>
      <c r="H37" s="315"/>
      <c r="I37" s="315"/>
      <c r="J37" s="315"/>
      <c r="K37" s="315"/>
      <c r="L37" s="315"/>
      <c r="M37" s="315"/>
      <c r="N37" s="315"/>
      <c r="O37" s="315"/>
      <c r="P37" s="315"/>
      <c r="Q37" s="262" t="s">
        <v>150</v>
      </c>
      <c r="R37" s="62" t="s">
        <v>150</v>
      </c>
    </row>
    <row r="38" spans="1:18">
      <c r="A38" s="63"/>
      <c r="B38" s="258"/>
      <c r="C38" s="259"/>
      <c r="D38" s="259"/>
      <c r="E38" s="279">
        <v>2020</v>
      </c>
      <c r="F38" s="279">
        <v>2021</v>
      </c>
      <c r="G38" s="279">
        <v>2022</v>
      </c>
      <c r="H38" s="279">
        <v>2023</v>
      </c>
      <c r="I38" s="279">
        <v>2024</v>
      </c>
      <c r="J38" s="279">
        <v>2025</v>
      </c>
      <c r="K38" s="279">
        <v>2026</v>
      </c>
      <c r="L38" s="279">
        <v>2027</v>
      </c>
      <c r="M38" s="279">
        <v>2028</v>
      </c>
      <c r="N38" s="279">
        <v>2029</v>
      </c>
      <c r="O38" s="279">
        <v>2030</v>
      </c>
      <c r="P38" s="279">
        <v>2031</v>
      </c>
      <c r="Q38" s="279">
        <v>2026</v>
      </c>
      <c r="R38" s="316">
        <v>2031</v>
      </c>
    </row>
    <row r="39" spans="1:18" ht="17.25">
      <c r="A39" s="59"/>
      <c r="B39" s="260"/>
      <c r="C39" s="260"/>
      <c r="D39" s="260"/>
      <c r="E39" s="378" t="s">
        <v>68</v>
      </c>
      <c r="F39" s="378"/>
      <c r="G39" s="378"/>
      <c r="H39" s="378"/>
      <c r="I39" s="378"/>
      <c r="J39" s="378"/>
      <c r="K39" s="378"/>
      <c r="L39" s="378"/>
      <c r="M39" s="378"/>
      <c r="N39" s="378"/>
      <c r="O39" s="378"/>
      <c r="P39" s="378"/>
      <c r="Q39" s="378"/>
      <c r="R39" s="379"/>
    </row>
    <row r="40" spans="1:18" ht="15.75">
      <c r="A40" s="59" t="s">
        <v>69</v>
      </c>
      <c r="B40" s="314"/>
      <c r="C40" s="314"/>
      <c r="D40" s="314"/>
      <c r="E40" s="95">
        <v>198.625</v>
      </c>
      <c r="F40" s="95">
        <v>134.416</v>
      </c>
      <c r="G40" s="95">
        <v>135.62900000000002</v>
      </c>
      <c r="H40" s="95">
        <v>133.41399999999999</v>
      </c>
      <c r="I40" s="95">
        <v>103.95999999999995</v>
      </c>
      <c r="J40" s="95">
        <v>74.525999999999954</v>
      </c>
      <c r="K40" s="95">
        <v>20.906999999999954</v>
      </c>
      <c r="L40" s="95">
        <v>0</v>
      </c>
      <c r="M40" s="95">
        <v>0</v>
      </c>
      <c r="N40" s="95">
        <v>0</v>
      </c>
      <c r="O40" s="95">
        <v>0</v>
      </c>
      <c r="P40" s="95">
        <v>0</v>
      </c>
      <c r="Q40" s="96" t="s">
        <v>70</v>
      </c>
      <c r="R40" s="99" t="s">
        <v>70</v>
      </c>
    </row>
    <row r="41" spans="1:18" ht="15.75">
      <c r="A41" s="292"/>
      <c r="B41" s="260" t="s">
        <v>71</v>
      </c>
      <c r="C41" s="314"/>
      <c r="D41" s="314"/>
      <c r="E41" s="95">
        <v>343.50200000000001</v>
      </c>
      <c r="F41" s="95">
        <v>340.32300000000004</v>
      </c>
      <c r="G41" s="95">
        <v>345.36399999999998</v>
      </c>
      <c r="H41" s="95">
        <v>373.34199999999998</v>
      </c>
      <c r="I41" s="95">
        <v>390.97199999999998</v>
      </c>
      <c r="J41" s="95">
        <v>410.13900000000001</v>
      </c>
      <c r="K41" s="95">
        <v>431.87</v>
      </c>
      <c r="L41" s="95">
        <v>454.15</v>
      </c>
      <c r="M41" s="95">
        <v>473.15899999999999</v>
      </c>
      <c r="N41" s="95">
        <v>492.15300000000002</v>
      </c>
      <c r="O41" s="95">
        <v>511.81400000000002</v>
      </c>
      <c r="P41" s="95">
        <v>532.59799999999996</v>
      </c>
      <c r="Q41" s="95">
        <v>1951.6869999999999</v>
      </c>
      <c r="R41" s="66">
        <v>4415.5609999999997</v>
      </c>
    </row>
    <row r="42" spans="1:18" ht="15.75">
      <c r="A42" s="292"/>
      <c r="B42" s="260" t="s">
        <v>72</v>
      </c>
      <c r="C42" s="314"/>
      <c r="D42" s="314"/>
      <c r="E42" s="95">
        <v>-412.40699999999998</v>
      </c>
      <c r="F42" s="95">
        <v>-344.16800000000001</v>
      </c>
      <c r="G42" s="95">
        <v>-352.48500000000001</v>
      </c>
      <c r="H42" s="95">
        <v>-407.32600000000002</v>
      </c>
      <c r="I42" s="95">
        <v>-423.80599999999998</v>
      </c>
      <c r="J42" s="95">
        <v>-465.74</v>
      </c>
      <c r="K42" s="95">
        <v>-493.81</v>
      </c>
      <c r="L42" s="95">
        <v>-523.38099999999997</v>
      </c>
      <c r="M42" s="95">
        <v>-576.827</v>
      </c>
      <c r="N42" s="95">
        <v>-564.12900000000002</v>
      </c>
      <c r="O42" s="95">
        <v>-614.971</v>
      </c>
      <c r="P42" s="95">
        <v>-660.56100000000004</v>
      </c>
      <c r="Q42" s="95">
        <v>-2143.1669999999999</v>
      </c>
      <c r="R42" s="66">
        <v>-5083.0360000000001</v>
      </c>
    </row>
    <row r="43" spans="1:18" ht="3.75" customHeight="1">
      <c r="A43" s="70"/>
      <c r="B43" s="265"/>
      <c r="C43" s="265"/>
      <c r="D43" s="265"/>
      <c r="E43" s="71" t="s">
        <v>53</v>
      </c>
      <c r="F43" s="71" t="s">
        <v>53</v>
      </c>
      <c r="G43" s="71" t="s">
        <v>53</v>
      </c>
      <c r="H43" s="71" t="s">
        <v>53</v>
      </c>
      <c r="I43" s="71" t="s">
        <v>53</v>
      </c>
      <c r="J43" s="71" t="s">
        <v>53</v>
      </c>
      <c r="K43" s="71" t="s">
        <v>53</v>
      </c>
      <c r="L43" s="71" t="s">
        <v>53</v>
      </c>
      <c r="M43" s="71" t="s">
        <v>53</v>
      </c>
      <c r="N43" s="71" t="s">
        <v>53</v>
      </c>
      <c r="O43" s="71" t="s">
        <v>53</v>
      </c>
      <c r="P43" s="71" t="s">
        <v>53</v>
      </c>
      <c r="Q43" s="71" t="s">
        <v>53</v>
      </c>
      <c r="R43" s="72" t="s">
        <v>53</v>
      </c>
    </row>
    <row r="44" spans="1:18" ht="15.75">
      <c r="A44" s="292"/>
      <c r="B44" s="314"/>
      <c r="C44" s="260" t="s">
        <v>153</v>
      </c>
      <c r="D44" s="260"/>
      <c r="E44" s="95">
        <v>-68.904999999999973</v>
      </c>
      <c r="F44" s="95">
        <v>-3.8449999999999704</v>
      </c>
      <c r="G44" s="95">
        <v>-7.1210000000000377</v>
      </c>
      <c r="H44" s="95">
        <v>-33.984000000000037</v>
      </c>
      <c r="I44" s="95">
        <v>-32.834000000000003</v>
      </c>
      <c r="J44" s="95">
        <v>-55.600999999999999</v>
      </c>
      <c r="K44" s="95">
        <v>-61.94</v>
      </c>
      <c r="L44" s="95">
        <v>-69.230999999999995</v>
      </c>
      <c r="M44" s="95">
        <v>-103.66800000000001</v>
      </c>
      <c r="N44" s="95">
        <v>-71.975999999999999</v>
      </c>
      <c r="O44" s="95">
        <v>-103.15699999999998</v>
      </c>
      <c r="P44" s="95">
        <v>-127.96300000000008</v>
      </c>
      <c r="Q44" s="95">
        <v>-191.48000000000008</v>
      </c>
      <c r="R44" s="66">
        <v>-667.47500000000014</v>
      </c>
    </row>
    <row r="45" spans="1:18" ht="12" customHeight="1">
      <c r="A45" s="292"/>
      <c r="B45" s="314"/>
      <c r="C45" s="314"/>
      <c r="D45" s="314"/>
      <c r="E45" s="95"/>
      <c r="F45" s="95"/>
      <c r="G45" s="95"/>
      <c r="H45" s="95"/>
      <c r="I45" s="95"/>
      <c r="J45" s="95"/>
      <c r="K45" s="95"/>
      <c r="L45" s="95"/>
      <c r="M45" s="95"/>
      <c r="N45" s="95"/>
      <c r="O45" s="95"/>
      <c r="P45" s="95"/>
      <c r="Q45" s="95"/>
      <c r="R45" s="66"/>
    </row>
    <row r="46" spans="1:18" ht="15.75">
      <c r="A46" s="292"/>
      <c r="B46" s="260" t="s">
        <v>154</v>
      </c>
      <c r="C46" s="314"/>
      <c r="D46" s="314"/>
      <c r="E46" s="95">
        <v>5.3209999999999997</v>
      </c>
      <c r="F46" s="95">
        <v>5.0579999999999998</v>
      </c>
      <c r="G46" s="95">
        <v>4.9059999999999997</v>
      </c>
      <c r="H46" s="95">
        <v>4.53</v>
      </c>
      <c r="I46" s="95">
        <v>3.4</v>
      </c>
      <c r="J46" s="95">
        <v>1.982</v>
      </c>
      <c r="K46" s="95">
        <v>0.128</v>
      </c>
      <c r="L46" s="95">
        <v>0</v>
      </c>
      <c r="M46" s="95">
        <v>0</v>
      </c>
      <c r="N46" s="95">
        <v>0</v>
      </c>
      <c r="O46" s="95">
        <v>0</v>
      </c>
      <c r="P46" s="95">
        <v>0</v>
      </c>
      <c r="Q46" s="95">
        <v>14.946</v>
      </c>
      <c r="R46" s="66">
        <v>14.946</v>
      </c>
    </row>
    <row r="47" spans="1:18" ht="3.75" customHeight="1">
      <c r="A47" s="70"/>
      <c r="B47" s="265"/>
      <c r="C47" s="265"/>
      <c r="D47" s="265"/>
      <c r="E47" s="71" t="s">
        <v>53</v>
      </c>
      <c r="F47" s="71" t="s">
        <v>53</v>
      </c>
      <c r="G47" s="71" t="s">
        <v>53</v>
      </c>
      <c r="H47" s="71" t="s">
        <v>53</v>
      </c>
      <c r="I47" s="71" t="s">
        <v>53</v>
      </c>
      <c r="J47" s="71" t="s">
        <v>53</v>
      </c>
      <c r="K47" s="71" t="s">
        <v>53</v>
      </c>
      <c r="L47" s="71" t="s">
        <v>53</v>
      </c>
      <c r="M47" s="71" t="s">
        <v>53</v>
      </c>
      <c r="N47" s="71" t="s">
        <v>53</v>
      </c>
      <c r="O47" s="71" t="s">
        <v>53</v>
      </c>
      <c r="P47" s="71" t="s">
        <v>53</v>
      </c>
      <c r="Q47" s="71" t="s">
        <v>53</v>
      </c>
      <c r="R47" s="72" t="s">
        <v>53</v>
      </c>
    </row>
    <row r="48" spans="1:18" ht="15.75">
      <c r="A48" s="292"/>
      <c r="B48" s="314"/>
      <c r="C48" s="260" t="s">
        <v>155</v>
      </c>
      <c r="D48" s="260"/>
      <c r="E48" s="95">
        <v>-64.209000000000003</v>
      </c>
      <c r="F48" s="95">
        <v>1.2130000000000294</v>
      </c>
      <c r="G48" s="95">
        <v>-2.215000000000038</v>
      </c>
      <c r="H48" s="95">
        <v>-29.454000000000036</v>
      </c>
      <c r="I48" s="95">
        <v>-29.434000000000005</v>
      </c>
      <c r="J48" s="95">
        <v>-53.619</v>
      </c>
      <c r="K48" s="95">
        <v>-61.811999999999998</v>
      </c>
      <c r="L48" s="95">
        <v>-69.230999999999995</v>
      </c>
      <c r="M48" s="95">
        <v>-103.66800000000001</v>
      </c>
      <c r="N48" s="95">
        <v>-71.975999999999999</v>
      </c>
      <c r="O48" s="95">
        <v>-103.15699999999998</v>
      </c>
      <c r="P48" s="95">
        <v>-127.96300000000008</v>
      </c>
      <c r="Q48" s="95">
        <v>-176.53400000000008</v>
      </c>
      <c r="R48" s="66">
        <v>-652.52900000000011</v>
      </c>
    </row>
    <row r="49" spans="1:18" ht="3" customHeight="1">
      <c r="A49" s="292"/>
      <c r="B49" s="314"/>
      <c r="C49" s="314"/>
      <c r="D49" s="314"/>
      <c r="E49" s="95"/>
      <c r="F49" s="95"/>
      <c r="G49" s="95"/>
      <c r="H49" s="95"/>
      <c r="I49" s="95"/>
      <c r="J49" s="95"/>
      <c r="K49" s="95"/>
      <c r="L49" s="95"/>
      <c r="M49" s="95"/>
      <c r="N49" s="95"/>
      <c r="O49" s="95"/>
      <c r="P49" s="95"/>
      <c r="Q49" s="95"/>
      <c r="R49" s="66"/>
    </row>
    <row r="50" spans="1:18" ht="16.5" thickBot="1">
      <c r="A50" s="73" t="s">
        <v>76</v>
      </c>
      <c r="B50" s="317"/>
      <c r="C50" s="317"/>
      <c r="D50" s="317"/>
      <c r="E50" s="101">
        <v>134.416</v>
      </c>
      <c r="F50" s="101">
        <v>135.62900000000002</v>
      </c>
      <c r="G50" s="101">
        <v>133.41399999999999</v>
      </c>
      <c r="H50" s="101">
        <v>103.95999999999995</v>
      </c>
      <c r="I50" s="101">
        <v>74.525999999999954</v>
      </c>
      <c r="J50" s="101">
        <v>20.906999999999954</v>
      </c>
      <c r="K50" s="101">
        <v>0</v>
      </c>
      <c r="L50" s="101">
        <v>0</v>
      </c>
      <c r="M50" s="101">
        <v>0</v>
      </c>
      <c r="N50" s="101">
        <v>0</v>
      </c>
      <c r="O50" s="101">
        <v>0</v>
      </c>
      <c r="P50" s="101">
        <v>0</v>
      </c>
      <c r="Q50" s="102" t="s">
        <v>70</v>
      </c>
      <c r="R50" s="103" t="s">
        <v>70</v>
      </c>
    </row>
    <row r="51" spans="1:18" ht="15.75" thickTop="1"/>
  </sheetData>
  <mergeCells count="14">
    <mergeCell ref="E39:R39"/>
    <mergeCell ref="A30:S30"/>
    <mergeCell ref="A32:Q32"/>
    <mergeCell ref="A33:Q33"/>
    <mergeCell ref="A34:Q34"/>
    <mergeCell ref="Q36:R36"/>
    <mergeCell ref="Q21:R21"/>
    <mergeCell ref="A1:P1"/>
    <mergeCell ref="A2:P2"/>
    <mergeCell ref="A3:P3"/>
    <mergeCell ref="C11:D11"/>
    <mergeCell ref="A13:P13"/>
    <mergeCell ref="A15:P15"/>
    <mergeCell ref="A14:P14"/>
  </mergeCells>
  <conditionalFormatting sqref="E7:P11">
    <cfRule type="cellIs" dxfId="3" priority="4" operator="between">
      <formula>0.000001</formula>
      <formula>0.499999999</formula>
    </cfRule>
  </conditionalFormatting>
  <conditionalFormatting sqref="E24:R28">
    <cfRule type="cellIs" dxfId="2" priority="2" operator="between">
      <formula>-0.4999999</formula>
      <formula>-0.000000001</formula>
    </cfRule>
    <cfRule type="cellIs" dxfId="1" priority="3" operator="between">
      <formula>0.00000001</formula>
      <formula>0.49999999</formula>
    </cfRule>
  </conditionalFormatting>
  <conditionalFormatting sqref="E40:R50 E39">
    <cfRule type="cellIs" dxfId="0" priority="1" operator="between">
      <formula>0.0000001</formula>
      <formula>0.4999999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AC91A-09CA-4892-A91A-F4F162BBB9BB}">
  <dimension ref="A1:R71"/>
  <sheetViews>
    <sheetView topLeftCell="A34" workbookViewId="0">
      <selection activeCell="J49" sqref="J49"/>
    </sheetView>
  </sheetViews>
  <sheetFormatPr defaultRowHeight="15"/>
  <cols>
    <col min="3" max="3" width="26.42578125" customWidth="1"/>
    <col min="4" max="4" width="12.42578125" customWidth="1"/>
  </cols>
  <sheetData>
    <row r="1" spans="1:18" ht="15.75" thickTop="1">
      <c r="A1" s="365" t="s">
        <v>46</v>
      </c>
      <c r="B1" s="366"/>
      <c r="C1" s="366"/>
      <c r="D1" s="366"/>
      <c r="E1" s="366"/>
      <c r="F1" s="366"/>
      <c r="G1" s="366"/>
      <c r="H1" s="366"/>
      <c r="I1" s="366"/>
      <c r="J1" s="366"/>
      <c r="K1" s="366"/>
      <c r="L1" s="366"/>
      <c r="M1" s="366"/>
      <c r="N1" s="366"/>
      <c r="O1" s="366"/>
      <c r="P1" s="367"/>
      <c r="Q1" s="79"/>
      <c r="R1" s="79"/>
    </row>
    <row r="2" spans="1:18">
      <c r="A2" s="368" t="s">
        <v>47</v>
      </c>
      <c r="B2" s="369"/>
      <c r="C2" s="369"/>
      <c r="D2" s="369"/>
      <c r="E2" s="369"/>
      <c r="F2" s="369"/>
      <c r="G2" s="369"/>
      <c r="H2" s="369"/>
      <c r="I2" s="369"/>
      <c r="J2" s="369"/>
      <c r="K2" s="369"/>
      <c r="L2" s="369"/>
      <c r="M2" s="369"/>
      <c r="N2" s="369"/>
      <c r="O2" s="369"/>
      <c r="P2" s="370"/>
      <c r="Q2" s="79"/>
      <c r="R2" s="79"/>
    </row>
    <row r="3" spans="1:18">
      <c r="A3" s="371" t="s">
        <v>48</v>
      </c>
      <c r="B3" s="372"/>
      <c r="C3" s="372"/>
      <c r="D3" s="372"/>
      <c r="E3" s="372"/>
      <c r="F3" s="372"/>
      <c r="G3" s="372"/>
      <c r="H3" s="372"/>
      <c r="I3" s="372"/>
      <c r="J3" s="372"/>
      <c r="K3" s="372"/>
      <c r="L3" s="372"/>
      <c r="M3" s="372"/>
      <c r="N3" s="372"/>
      <c r="O3" s="372"/>
      <c r="P3" s="373"/>
      <c r="Q3" s="79"/>
      <c r="R3" s="79"/>
    </row>
    <row r="4" spans="1:18">
      <c r="A4" s="42"/>
      <c r="B4" s="35"/>
      <c r="C4" s="35"/>
      <c r="D4" s="35"/>
      <c r="E4" s="36"/>
      <c r="F4" s="36"/>
      <c r="G4" s="35"/>
      <c r="H4" s="35"/>
      <c r="I4" s="35"/>
      <c r="J4" s="35"/>
      <c r="K4" s="35"/>
      <c r="L4" s="35"/>
      <c r="M4" s="35"/>
      <c r="N4" s="35"/>
      <c r="O4" s="35"/>
      <c r="P4" s="43"/>
      <c r="Q4" s="79"/>
      <c r="R4" s="79"/>
    </row>
    <row r="5" spans="1:18" ht="15.75">
      <c r="A5" s="44"/>
      <c r="B5" s="94"/>
      <c r="C5" s="94"/>
      <c r="D5" s="94"/>
      <c r="E5" s="80" t="s">
        <v>49</v>
      </c>
      <c r="F5" s="94"/>
      <c r="G5" s="81"/>
      <c r="H5" s="81"/>
      <c r="I5" s="81"/>
      <c r="J5" s="81"/>
      <c r="K5" s="81"/>
      <c r="L5" s="81"/>
      <c r="M5" s="81"/>
      <c r="N5" s="81"/>
      <c r="O5" s="81"/>
      <c r="P5" s="45"/>
      <c r="Q5" s="79"/>
      <c r="R5" s="79"/>
    </row>
    <row r="6" spans="1:18" s="34" customFormat="1">
      <c r="A6" s="46"/>
      <c r="B6" s="37"/>
      <c r="C6" s="37"/>
      <c r="D6" s="37"/>
      <c r="E6" s="82">
        <v>2019</v>
      </c>
      <c r="F6" s="83">
        <v>2020</v>
      </c>
      <c r="G6" s="83">
        <v>2021</v>
      </c>
      <c r="H6" s="83">
        <v>2022</v>
      </c>
      <c r="I6" s="83">
        <v>2023</v>
      </c>
      <c r="J6" s="83">
        <v>2024</v>
      </c>
      <c r="K6" s="83">
        <v>2025</v>
      </c>
      <c r="L6" s="83">
        <v>2026</v>
      </c>
      <c r="M6" s="83">
        <v>2027</v>
      </c>
      <c r="N6" s="83">
        <v>2028</v>
      </c>
      <c r="O6" s="83">
        <v>2029</v>
      </c>
      <c r="P6" s="47">
        <v>2030</v>
      </c>
      <c r="Q6" s="79"/>
      <c r="R6" s="79"/>
    </row>
    <row r="7" spans="1:18">
      <c r="A7" s="48" t="s">
        <v>50</v>
      </c>
      <c r="B7" s="38"/>
      <c r="C7" s="38"/>
      <c r="D7" s="38"/>
      <c r="E7" s="39"/>
      <c r="F7" s="39"/>
      <c r="G7" s="39"/>
      <c r="H7" s="39"/>
      <c r="I7" s="39"/>
      <c r="J7" s="39"/>
      <c r="K7" s="39"/>
      <c r="L7" s="39"/>
      <c r="M7" s="39"/>
      <c r="N7" s="39"/>
      <c r="O7" s="39"/>
      <c r="P7" s="49"/>
      <c r="Q7" s="79"/>
      <c r="R7" s="79"/>
    </row>
    <row r="8" spans="1:18" ht="17.25">
      <c r="A8" s="48"/>
      <c r="B8" s="38" t="s">
        <v>51</v>
      </c>
      <c r="C8" s="38"/>
      <c r="D8" s="94"/>
      <c r="E8" s="39">
        <v>198.625</v>
      </c>
      <c r="F8" s="39">
        <v>152.952</v>
      </c>
      <c r="G8" s="39">
        <v>155.29300000000001</v>
      </c>
      <c r="H8" s="39">
        <v>87.956000000000003</v>
      </c>
      <c r="I8" s="39">
        <v>28.443999999999999</v>
      </c>
      <c r="J8" s="39">
        <v>0</v>
      </c>
      <c r="K8" s="39">
        <v>0</v>
      </c>
      <c r="L8" s="39">
        <v>0</v>
      </c>
      <c r="M8" s="39">
        <v>0</v>
      </c>
      <c r="N8" s="39">
        <v>0</v>
      </c>
      <c r="O8" s="39">
        <v>0</v>
      </c>
      <c r="P8" s="49">
        <v>0</v>
      </c>
      <c r="Q8" s="79"/>
      <c r="R8" s="79"/>
    </row>
    <row r="9" spans="1:18" ht="15.75">
      <c r="A9" s="48"/>
      <c r="B9" s="38" t="s">
        <v>52</v>
      </c>
      <c r="C9" s="38"/>
      <c r="D9" s="94"/>
      <c r="E9" s="39">
        <v>104.71599999999999</v>
      </c>
      <c r="F9" s="39">
        <v>114.64400000000001</v>
      </c>
      <c r="G9" s="39">
        <v>127.852</v>
      </c>
      <c r="H9" s="39">
        <v>108.746</v>
      </c>
      <c r="I9" s="39">
        <v>114.04600000000001</v>
      </c>
      <c r="J9" s="39">
        <v>152.352</v>
      </c>
      <c r="K9" s="39">
        <v>173.04</v>
      </c>
      <c r="L9" s="39">
        <v>193.67400000000001</v>
      </c>
      <c r="M9" s="39">
        <v>211.34299999999999</v>
      </c>
      <c r="N9" s="39">
        <v>182.191</v>
      </c>
      <c r="O9" s="39">
        <v>240.29300000000001</v>
      </c>
      <c r="P9" s="49">
        <v>240.38800000000001</v>
      </c>
      <c r="Q9" s="79"/>
      <c r="R9" s="79"/>
    </row>
    <row r="10" spans="1:18" s="56" customFormat="1" ht="5.25" customHeight="1">
      <c r="A10" s="50"/>
      <c r="B10" s="41"/>
      <c r="C10" s="41"/>
      <c r="D10" s="41"/>
      <c r="E10" s="40" t="s">
        <v>53</v>
      </c>
      <c r="F10" s="40" t="s">
        <v>53</v>
      </c>
      <c r="G10" s="40" t="s">
        <v>53</v>
      </c>
      <c r="H10" s="40" t="s">
        <v>53</v>
      </c>
      <c r="I10" s="40" t="s">
        <v>53</v>
      </c>
      <c r="J10" s="40" t="s">
        <v>53</v>
      </c>
      <c r="K10" s="40" t="s">
        <v>53</v>
      </c>
      <c r="L10" s="40" t="s">
        <v>53</v>
      </c>
      <c r="M10" s="40" t="s">
        <v>53</v>
      </c>
      <c r="N10" s="40" t="s">
        <v>53</v>
      </c>
      <c r="O10" s="40" t="s">
        <v>53</v>
      </c>
      <c r="P10" s="51" t="s">
        <v>53</v>
      </c>
    </row>
    <row r="11" spans="1:18" ht="15.75" thickBot="1">
      <c r="A11" s="52"/>
      <c r="B11" s="53"/>
      <c r="C11" s="407" t="s">
        <v>54</v>
      </c>
      <c r="D11" s="407"/>
      <c r="E11" s="54">
        <v>303.34100000000001</v>
      </c>
      <c r="F11" s="54">
        <v>267.596</v>
      </c>
      <c r="G11" s="54">
        <v>283.14499999999998</v>
      </c>
      <c r="H11" s="54">
        <v>196.702</v>
      </c>
      <c r="I11" s="54">
        <v>142.49</v>
      </c>
      <c r="J11" s="54">
        <v>152.352</v>
      </c>
      <c r="K11" s="54">
        <v>173.04</v>
      </c>
      <c r="L11" s="54">
        <v>193.67400000000001</v>
      </c>
      <c r="M11" s="54">
        <v>211.34299999999999</v>
      </c>
      <c r="N11" s="54">
        <v>182.191</v>
      </c>
      <c r="O11" s="54">
        <v>240.29300000000001</v>
      </c>
      <c r="P11" s="55">
        <v>240.38800000000001</v>
      </c>
      <c r="Q11" s="79"/>
      <c r="R11" s="79"/>
    </row>
    <row r="12" spans="1:18" ht="15.75" thickTop="1">
      <c r="A12" s="79"/>
      <c r="B12" s="79"/>
      <c r="C12" s="79"/>
      <c r="D12" s="79"/>
      <c r="E12" s="79"/>
      <c r="F12" s="79"/>
      <c r="G12" s="79"/>
      <c r="H12" s="79"/>
      <c r="I12" s="79"/>
      <c r="J12" s="79"/>
      <c r="K12" s="79"/>
      <c r="L12" s="79"/>
      <c r="M12" s="79"/>
      <c r="N12" s="79"/>
      <c r="O12" s="79"/>
      <c r="P12" s="79"/>
      <c r="Q12" s="79"/>
      <c r="R12" s="79"/>
    </row>
    <row r="13" spans="1:18">
      <c r="A13" s="405" t="s">
        <v>55</v>
      </c>
      <c r="B13" s="405"/>
      <c r="C13" s="405"/>
      <c r="D13" s="405"/>
      <c r="E13" s="405"/>
      <c r="F13" s="405"/>
      <c r="G13" s="405"/>
      <c r="H13" s="405"/>
      <c r="I13" s="405"/>
      <c r="J13" s="405"/>
      <c r="K13" s="405"/>
      <c r="L13" s="405"/>
      <c r="M13" s="405"/>
      <c r="N13" s="405"/>
      <c r="O13" s="405"/>
      <c r="P13" s="405"/>
      <c r="Q13" s="79"/>
      <c r="R13" s="79"/>
    </row>
    <row r="14" spans="1:18" ht="46.5" customHeight="1">
      <c r="A14" s="406" t="s">
        <v>56</v>
      </c>
      <c r="B14" s="406"/>
      <c r="C14" s="406"/>
      <c r="D14" s="406"/>
      <c r="E14" s="406"/>
      <c r="F14" s="406"/>
      <c r="G14" s="406"/>
      <c r="H14" s="406"/>
      <c r="I14" s="406"/>
      <c r="J14" s="406"/>
      <c r="K14" s="406"/>
      <c r="L14" s="406"/>
      <c r="M14" s="406"/>
      <c r="N14" s="406"/>
      <c r="O14" s="406"/>
      <c r="P14" s="406"/>
      <c r="Q14" s="79"/>
      <c r="R14" s="79"/>
    </row>
    <row r="15" spans="1:18" ht="15.75" thickBot="1">
      <c r="A15" s="79"/>
      <c r="B15" s="79"/>
      <c r="C15" s="79"/>
      <c r="D15" s="79"/>
      <c r="E15" s="79"/>
      <c r="F15" s="79"/>
      <c r="G15" s="79"/>
      <c r="H15" s="79"/>
      <c r="I15" s="79"/>
      <c r="J15" s="79"/>
      <c r="K15" s="79"/>
      <c r="L15" s="79"/>
      <c r="M15" s="79"/>
      <c r="N15" s="79"/>
      <c r="O15" s="79"/>
      <c r="P15" s="79"/>
      <c r="Q15" s="79"/>
      <c r="R15" s="79"/>
    </row>
    <row r="16" spans="1:18" ht="15.75" thickTop="1">
      <c r="A16" s="400" t="s">
        <v>57</v>
      </c>
      <c r="B16" s="382"/>
      <c r="C16" s="382"/>
      <c r="D16" s="382"/>
      <c r="E16" s="382"/>
      <c r="F16" s="382"/>
      <c r="G16" s="382"/>
      <c r="H16" s="382"/>
      <c r="I16" s="382"/>
      <c r="J16" s="382"/>
      <c r="K16" s="382"/>
      <c r="L16" s="382"/>
      <c r="M16" s="382"/>
      <c r="N16" s="382"/>
      <c r="O16" s="382"/>
      <c r="P16" s="382"/>
      <c r="Q16" s="382"/>
      <c r="R16" s="401"/>
    </row>
    <row r="17" spans="1:18">
      <c r="A17" s="397" t="s">
        <v>58</v>
      </c>
      <c r="B17" s="384"/>
      <c r="C17" s="384"/>
      <c r="D17" s="384"/>
      <c r="E17" s="384"/>
      <c r="F17" s="384"/>
      <c r="G17" s="384"/>
      <c r="H17" s="384"/>
      <c r="I17" s="384"/>
      <c r="J17" s="384"/>
      <c r="K17" s="384"/>
      <c r="L17" s="384"/>
      <c r="M17" s="384"/>
      <c r="N17" s="384"/>
      <c r="O17" s="384"/>
      <c r="P17" s="384"/>
      <c r="Q17" s="384"/>
      <c r="R17" s="398"/>
    </row>
    <row r="18" spans="1:18">
      <c r="A18" s="402" t="s">
        <v>48</v>
      </c>
      <c r="B18" s="403"/>
      <c r="C18" s="403"/>
      <c r="D18" s="403"/>
      <c r="E18" s="403"/>
      <c r="F18" s="403"/>
      <c r="G18" s="403"/>
      <c r="H18" s="403"/>
      <c r="I18" s="403"/>
      <c r="J18" s="403"/>
      <c r="K18" s="403"/>
      <c r="L18" s="403"/>
      <c r="M18" s="403"/>
      <c r="N18" s="403"/>
      <c r="O18" s="403"/>
      <c r="P18" s="403"/>
      <c r="Q18" s="403"/>
      <c r="R18" s="404"/>
    </row>
    <row r="19" spans="1:18">
      <c r="A19" s="59"/>
      <c r="B19" s="86"/>
      <c r="C19" s="86"/>
      <c r="D19" s="86"/>
      <c r="E19" s="88"/>
      <c r="F19" s="87"/>
      <c r="G19" s="87"/>
      <c r="H19" s="87"/>
      <c r="I19" s="87"/>
      <c r="J19" s="87"/>
      <c r="K19" s="87"/>
      <c r="L19" s="87"/>
      <c r="M19" s="87"/>
      <c r="N19" s="87"/>
      <c r="O19" s="87"/>
      <c r="P19" s="87"/>
      <c r="Q19" s="87"/>
      <c r="R19" s="60"/>
    </row>
    <row r="20" spans="1:18">
      <c r="A20" s="59"/>
      <c r="B20" s="86"/>
      <c r="C20" s="86"/>
      <c r="D20" s="86"/>
      <c r="E20" s="86"/>
      <c r="F20" s="87"/>
      <c r="G20" s="87"/>
      <c r="H20" s="87"/>
      <c r="I20" s="87"/>
      <c r="J20" s="87"/>
      <c r="K20" s="87"/>
      <c r="L20" s="87"/>
      <c r="M20" s="87"/>
      <c r="N20" s="87"/>
      <c r="O20" s="87"/>
      <c r="P20" s="87"/>
      <c r="Q20" s="363" t="s">
        <v>59</v>
      </c>
      <c r="R20" s="364"/>
    </row>
    <row r="21" spans="1:18">
      <c r="A21" s="59"/>
      <c r="B21" s="86"/>
      <c r="C21" s="86"/>
      <c r="D21" s="86"/>
      <c r="E21" s="80" t="s">
        <v>49</v>
      </c>
      <c r="F21" s="86"/>
      <c r="G21" s="81"/>
      <c r="H21" s="81"/>
      <c r="I21" s="81"/>
      <c r="J21" s="81"/>
      <c r="K21" s="81"/>
      <c r="L21" s="81"/>
      <c r="M21" s="81"/>
      <c r="N21" s="81"/>
      <c r="O21" s="81"/>
      <c r="P21" s="81"/>
      <c r="Q21" s="89" t="s">
        <v>60</v>
      </c>
      <c r="R21" s="62" t="s">
        <v>60</v>
      </c>
    </row>
    <row r="22" spans="1:18">
      <c r="A22" s="63"/>
      <c r="B22" s="84"/>
      <c r="C22" s="84"/>
      <c r="D22" s="84"/>
      <c r="E22" s="82">
        <v>2019</v>
      </c>
      <c r="F22" s="83">
        <v>2020</v>
      </c>
      <c r="G22" s="83">
        <v>2021</v>
      </c>
      <c r="H22" s="83">
        <v>2022</v>
      </c>
      <c r="I22" s="83">
        <v>2023</v>
      </c>
      <c r="J22" s="83">
        <v>2024</v>
      </c>
      <c r="K22" s="83">
        <v>2025</v>
      </c>
      <c r="L22" s="83">
        <v>2026</v>
      </c>
      <c r="M22" s="83">
        <v>2027</v>
      </c>
      <c r="N22" s="83">
        <v>2028</v>
      </c>
      <c r="O22" s="83">
        <v>2029</v>
      </c>
      <c r="P22" s="83">
        <v>2030</v>
      </c>
      <c r="Q22" s="90">
        <v>2025</v>
      </c>
      <c r="R22" s="64">
        <v>2030</v>
      </c>
    </row>
    <row r="23" spans="1:18">
      <c r="A23" s="250" t="s">
        <v>50</v>
      </c>
      <c r="B23" s="264"/>
      <c r="C23" s="264"/>
      <c r="D23" s="264"/>
      <c r="E23" s="65"/>
      <c r="F23" s="95"/>
      <c r="G23" s="95"/>
      <c r="H23" s="95"/>
      <c r="I23" s="95"/>
      <c r="J23" s="95"/>
      <c r="K23" s="95"/>
      <c r="L23" s="95"/>
      <c r="M23" s="95"/>
      <c r="N23" s="95"/>
      <c r="O23" s="95"/>
      <c r="P23" s="95"/>
      <c r="Q23" s="95"/>
      <c r="R23" s="66"/>
    </row>
    <row r="24" spans="1:18" ht="17.25">
      <c r="A24" s="59"/>
      <c r="B24" s="263" t="s">
        <v>61</v>
      </c>
      <c r="C24" s="263"/>
      <c r="D24" s="264"/>
      <c r="E24" s="67">
        <v>-4.1800000000000068</v>
      </c>
      <c r="F24" s="67">
        <v>-45.673000000000002</v>
      </c>
      <c r="G24" s="67">
        <v>2.3410000000000002</v>
      </c>
      <c r="H24" s="67">
        <v>-67.337000000000003</v>
      </c>
      <c r="I24" s="67">
        <v>-59.512</v>
      </c>
      <c r="J24" s="67">
        <v>-54.097999999999999</v>
      </c>
      <c r="K24" s="67">
        <v>-78.152000000000001</v>
      </c>
      <c r="L24" s="67">
        <v>-83.480999999999995</v>
      </c>
      <c r="M24" s="67">
        <v>-87.599000000000004</v>
      </c>
      <c r="N24" s="67">
        <v>-119.02500000000001</v>
      </c>
      <c r="O24" s="67">
        <v>-84.198999999999998</v>
      </c>
      <c r="P24" s="67">
        <v>-113.443</v>
      </c>
      <c r="Q24" s="67">
        <v>-256.75799999999998</v>
      </c>
      <c r="R24" s="68">
        <v>-744.50499999999988</v>
      </c>
    </row>
    <row r="25" spans="1:18">
      <c r="A25" s="59"/>
      <c r="B25" s="57" t="s">
        <v>52</v>
      </c>
      <c r="C25" s="57"/>
      <c r="D25" s="91"/>
      <c r="E25" s="65">
        <v>6.5189999999999912</v>
      </c>
      <c r="F25" s="65">
        <v>9.9280000000000008</v>
      </c>
      <c r="G25" s="65">
        <v>13.208</v>
      </c>
      <c r="H25" s="65">
        <v>-19.106000000000002</v>
      </c>
      <c r="I25" s="65">
        <v>5.3</v>
      </c>
      <c r="J25" s="65">
        <v>38.305999999999997</v>
      </c>
      <c r="K25" s="65">
        <v>20.687999999999999</v>
      </c>
      <c r="L25" s="65">
        <v>20.634</v>
      </c>
      <c r="M25" s="65">
        <v>17.669</v>
      </c>
      <c r="N25" s="65">
        <v>-29.152000000000001</v>
      </c>
      <c r="O25" s="65">
        <v>58.101999999999997</v>
      </c>
      <c r="P25" s="65">
        <v>9.5000000000000001E-2</v>
      </c>
      <c r="Q25" s="65">
        <v>58.396000000000001</v>
      </c>
      <c r="R25" s="69">
        <v>125.744</v>
      </c>
    </row>
    <row r="26" spans="1:18" ht="3.75" customHeight="1">
      <c r="A26" s="70"/>
      <c r="B26" s="58"/>
      <c r="C26" s="58"/>
      <c r="D26" s="92"/>
      <c r="E26" s="71" t="s">
        <v>62</v>
      </c>
      <c r="F26" s="71" t="s">
        <v>53</v>
      </c>
      <c r="G26" s="71" t="s">
        <v>53</v>
      </c>
      <c r="H26" s="71" t="s">
        <v>53</v>
      </c>
      <c r="I26" s="71" t="s">
        <v>53</v>
      </c>
      <c r="J26" s="71" t="s">
        <v>53</v>
      </c>
      <c r="K26" s="71" t="s">
        <v>53</v>
      </c>
      <c r="L26" s="71" t="s">
        <v>53</v>
      </c>
      <c r="M26" s="71" t="s">
        <v>53</v>
      </c>
      <c r="N26" s="71" t="s">
        <v>53</v>
      </c>
      <c r="O26" s="71" t="s">
        <v>53</v>
      </c>
      <c r="P26" s="71" t="s">
        <v>62</v>
      </c>
      <c r="Q26" s="71" t="s">
        <v>62</v>
      </c>
      <c r="R26" s="72" t="s">
        <v>62</v>
      </c>
    </row>
    <row r="27" spans="1:18" ht="15.75" thickBot="1">
      <c r="A27" s="73"/>
      <c r="B27" s="74"/>
      <c r="C27" s="74"/>
      <c r="D27" s="251" t="s">
        <v>54</v>
      </c>
      <c r="E27" s="75">
        <v>2.3389999999999844</v>
      </c>
      <c r="F27" s="75">
        <v>-35.745000000000005</v>
      </c>
      <c r="G27" s="75">
        <v>15.548999999999999</v>
      </c>
      <c r="H27" s="75">
        <v>-86.443000000000012</v>
      </c>
      <c r="I27" s="75">
        <v>-54.212000000000003</v>
      </c>
      <c r="J27" s="75">
        <v>-15.792000000000002</v>
      </c>
      <c r="K27" s="75">
        <v>-57.463999999999999</v>
      </c>
      <c r="L27" s="75">
        <v>-62.846999999999994</v>
      </c>
      <c r="M27" s="75">
        <v>-69.930000000000007</v>
      </c>
      <c r="N27" s="75">
        <v>-148.17700000000002</v>
      </c>
      <c r="O27" s="75">
        <v>-26.097000000000001</v>
      </c>
      <c r="P27" s="75">
        <v>-113.348</v>
      </c>
      <c r="Q27" s="75">
        <v>-198.36200000000002</v>
      </c>
      <c r="R27" s="76">
        <v>-618.76099999999997</v>
      </c>
    </row>
    <row r="28" spans="1:18" ht="15.75" thickTop="1">
      <c r="A28" s="79"/>
      <c r="B28" s="79"/>
      <c r="C28" s="79"/>
      <c r="D28" s="79"/>
      <c r="E28" s="79"/>
      <c r="F28" s="79"/>
      <c r="G28" s="79"/>
      <c r="H28" s="79"/>
      <c r="I28" s="79"/>
      <c r="J28" s="79"/>
      <c r="K28" s="79"/>
      <c r="L28" s="79"/>
      <c r="M28" s="79"/>
      <c r="N28" s="79"/>
      <c r="O28" s="79"/>
      <c r="P28" s="79"/>
      <c r="Q28" s="79"/>
      <c r="R28" s="79"/>
    </row>
    <row r="29" spans="1:18">
      <c r="A29" s="393" t="s">
        <v>63</v>
      </c>
      <c r="B29" s="393"/>
      <c r="C29" s="393"/>
      <c r="D29" s="393"/>
      <c r="E29" s="393"/>
      <c r="F29" s="393"/>
      <c r="G29" s="393"/>
      <c r="H29" s="393"/>
      <c r="I29" s="393"/>
      <c r="J29" s="393"/>
      <c r="K29" s="393"/>
      <c r="L29" s="393"/>
      <c r="M29" s="393"/>
      <c r="N29" s="393"/>
      <c r="O29" s="393"/>
      <c r="P29" s="393"/>
      <c r="Q29" s="393"/>
      <c r="R29" s="393"/>
    </row>
    <row r="30" spans="1:18">
      <c r="A30" s="393" t="s">
        <v>64</v>
      </c>
      <c r="B30" s="394"/>
      <c r="C30" s="394"/>
      <c r="D30" s="394"/>
      <c r="E30" s="394"/>
      <c r="F30" s="394"/>
      <c r="G30" s="394"/>
      <c r="H30" s="394"/>
      <c r="I30" s="394"/>
      <c r="J30" s="394"/>
      <c r="K30" s="394"/>
      <c r="L30" s="394"/>
      <c r="M30" s="394"/>
      <c r="N30" s="394"/>
      <c r="O30" s="394"/>
      <c r="P30" s="394"/>
      <c r="Q30" s="394"/>
      <c r="R30" s="394"/>
    </row>
    <row r="31" spans="1:18">
      <c r="A31" s="392" t="s">
        <v>65</v>
      </c>
      <c r="B31" s="392"/>
      <c r="C31" s="392"/>
      <c r="D31" s="392"/>
      <c r="E31" s="392"/>
      <c r="F31" s="392"/>
      <c r="G31" s="392"/>
      <c r="H31" s="392"/>
      <c r="I31" s="392"/>
      <c r="J31" s="392"/>
      <c r="K31" s="392"/>
      <c r="L31" s="392"/>
      <c r="M31" s="392"/>
      <c r="N31" s="392"/>
      <c r="O31" s="392"/>
      <c r="P31" s="392"/>
      <c r="Q31" s="392"/>
      <c r="R31" s="392"/>
    </row>
    <row r="32" spans="1:18" ht="15.75" thickBot="1">
      <c r="A32" s="79"/>
      <c r="B32" s="79"/>
      <c r="C32" s="79"/>
      <c r="D32" s="79"/>
      <c r="E32" s="79"/>
      <c r="F32" s="79"/>
      <c r="G32" s="79"/>
      <c r="H32" s="79"/>
      <c r="I32" s="79"/>
      <c r="J32" s="79"/>
      <c r="K32" s="79"/>
      <c r="L32" s="79"/>
      <c r="M32" s="79"/>
      <c r="N32" s="79"/>
      <c r="O32" s="79"/>
      <c r="P32" s="79"/>
      <c r="Q32" s="79"/>
      <c r="R32" s="79"/>
    </row>
    <row r="33" spans="1:18" s="79" customFormat="1" ht="15.75" thickTop="1">
      <c r="A33" s="381" t="s">
        <v>66</v>
      </c>
      <c r="B33" s="395"/>
      <c r="C33" s="395"/>
      <c r="D33" s="395"/>
      <c r="E33" s="395"/>
      <c r="F33" s="395"/>
      <c r="G33" s="395"/>
      <c r="H33" s="395"/>
      <c r="I33" s="395"/>
      <c r="J33" s="395"/>
      <c r="K33" s="395"/>
      <c r="L33" s="395"/>
      <c r="M33" s="395"/>
      <c r="N33" s="395"/>
      <c r="O33" s="395"/>
      <c r="P33" s="395"/>
      <c r="Q33" s="395"/>
      <c r="R33" s="396"/>
    </row>
    <row r="34" spans="1:18" s="78" customFormat="1" ht="15" customHeight="1">
      <c r="A34" s="397" t="s">
        <v>67</v>
      </c>
      <c r="B34" s="384"/>
      <c r="C34" s="384"/>
      <c r="D34" s="384"/>
      <c r="E34" s="384"/>
      <c r="F34" s="384"/>
      <c r="G34" s="384"/>
      <c r="H34" s="384"/>
      <c r="I34" s="384"/>
      <c r="J34" s="384"/>
      <c r="K34" s="384"/>
      <c r="L34" s="384"/>
      <c r="M34" s="384"/>
      <c r="N34" s="384"/>
      <c r="O34" s="384"/>
      <c r="P34" s="384"/>
      <c r="Q34" s="384"/>
      <c r="R34" s="398"/>
    </row>
    <row r="35" spans="1:18">
      <c r="A35" s="385" t="s">
        <v>48</v>
      </c>
      <c r="B35" s="386"/>
      <c r="C35" s="386"/>
      <c r="D35" s="386"/>
      <c r="E35" s="386"/>
      <c r="F35" s="386"/>
      <c r="G35" s="386"/>
      <c r="H35" s="386"/>
      <c r="I35" s="386"/>
      <c r="J35" s="386"/>
      <c r="K35" s="386"/>
      <c r="L35" s="386"/>
      <c r="M35" s="386"/>
      <c r="N35" s="386"/>
      <c r="O35" s="386"/>
      <c r="P35" s="386"/>
      <c r="Q35" s="386"/>
      <c r="R35" s="399"/>
    </row>
    <row r="36" spans="1:18">
      <c r="A36" s="59"/>
      <c r="B36" s="86"/>
      <c r="C36" s="87"/>
      <c r="D36" s="261"/>
      <c r="E36" s="88"/>
      <c r="F36" s="87"/>
      <c r="G36" s="87"/>
      <c r="H36" s="87"/>
      <c r="I36" s="87"/>
      <c r="J36" s="87"/>
      <c r="K36" s="87"/>
      <c r="L36" s="87"/>
      <c r="M36" s="87"/>
      <c r="N36" s="87"/>
      <c r="O36" s="87"/>
      <c r="P36" s="93"/>
      <c r="Q36" s="93"/>
      <c r="R36" s="97"/>
    </row>
    <row r="37" spans="1:18" ht="15.75">
      <c r="A37" s="44"/>
      <c r="B37" s="94"/>
      <c r="C37" s="61"/>
      <c r="D37" s="61"/>
      <c r="E37" s="94"/>
      <c r="F37" s="87"/>
      <c r="G37" s="87"/>
      <c r="H37" s="87"/>
      <c r="I37" s="87"/>
      <c r="J37" s="87"/>
      <c r="K37" s="87"/>
      <c r="L37" s="87"/>
      <c r="M37" s="87"/>
      <c r="N37" s="87"/>
      <c r="O37" s="87"/>
      <c r="P37" s="87"/>
      <c r="Q37" s="363" t="s">
        <v>59</v>
      </c>
      <c r="R37" s="364"/>
    </row>
    <row r="38" spans="1:18" s="77" customFormat="1" ht="15.75">
      <c r="A38" s="44"/>
      <c r="B38" s="94"/>
      <c r="C38" s="61"/>
      <c r="D38" s="61"/>
      <c r="E38" s="80" t="s">
        <v>49</v>
      </c>
      <c r="F38" s="94"/>
      <c r="G38" s="81"/>
      <c r="H38" s="81"/>
      <c r="I38" s="81"/>
      <c r="J38" s="81"/>
      <c r="K38" s="81"/>
      <c r="L38" s="81"/>
      <c r="M38" s="81"/>
      <c r="N38" s="81"/>
      <c r="O38" s="81"/>
      <c r="P38" s="81"/>
      <c r="Q38" s="89" t="s">
        <v>60</v>
      </c>
      <c r="R38" s="62" t="s">
        <v>60</v>
      </c>
    </row>
    <row r="39" spans="1:18" s="77" customFormat="1">
      <c r="A39" s="63"/>
      <c r="B39" s="84"/>
      <c r="C39" s="85"/>
      <c r="D39" s="259"/>
      <c r="E39" s="82">
        <v>2019</v>
      </c>
      <c r="F39" s="83">
        <v>2020</v>
      </c>
      <c r="G39" s="83">
        <v>2021</v>
      </c>
      <c r="H39" s="83">
        <v>2022</v>
      </c>
      <c r="I39" s="83">
        <v>2023</v>
      </c>
      <c r="J39" s="83">
        <v>2024</v>
      </c>
      <c r="K39" s="83">
        <v>2025</v>
      </c>
      <c r="L39" s="83">
        <v>2026</v>
      </c>
      <c r="M39" s="83">
        <v>2027</v>
      </c>
      <c r="N39" s="83">
        <v>2028</v>
      </c>
      <c r="O39" s="83">
        <v>2029</v>
      </c>
      <c r="P39" s="83">
        <v>2030</v>
      </c>
      <c r="Q39" s="90">
        <v>2025</v>
      </c>
      <c r="R39" s="64">
        <v>2030</v>
      </c>
    </row>
    <row r="40" spans="1:18" ht="17.25">
      <c r="A40" s="98"/>
      <c r="B40" s="91"/>
      <c r="C40" s="91"/>
      <c r="D40" s="378" t="s">
        <v>68</v>
      </c>
      <c r="E40" s="378"/>
      <c r="F40" s="378"/>
      <c r="G40" s="378"/>
      <c r="H40" s="378"/>
      <c r="I40" s="378"/>
      <c r="J40" s="378"/>
      <c r="K40" s="378"/>
      <c r="L40" s="378"/>
      <c r="M40" s="378"/>
      <c r="N40" s="378"/>
      <c r="O40" s="378"/>
      <c r="P40" s="378"/>
      <c r="Q40" s="378"/>
      <c r="R40" s="379"/>
    </row>
    <row r="41" spans="1:18" ht="15.75">
      <c r="A41" s="59" t="s">
        <v>69</v>
      </c>
      <c r="B41" s="94"/>
      <c r="C41" s="94"/>
      <c r="D41" s="94"/>
      <c r="E41" s="95">
        <v>202.80500000000001</v>
      </c>
      <c r="F41" s="95">
        <v>198.625</v>
      </c>
      <c r="G41" s="95">
        <v>152.952</v>
      </c>
      <c r="H41" s="95">
        <v>155.29299999999998</v>
      </c>
      <c r="I41" s="95">
        <v>87.956999999999994</v>
      </c>
      <c r="J41" s="95">
        <v>28.445</v>
      </c>
      <c r="K41" s="95">
        <v>0</v>
      </c>
      <c r="L41" s="95">
        <v>0</v>
      </c>
      <c r="M41" s="95">
        <v>0</v>
      </c>
      <c r="N41" s="95">
        <v>0</v>
      </c>
      <c r="O41" s="95">
        <v>0</v>
      </c>
      <c r="P41" s="95">
        <v>0</v>
      </c>
      <c r="Q41" s="96" t="s">
        <v>70</v>
      </c>
      <c r="R41" s="99" t="s">
        <v>70</v>
      </c>
    </row>
    <row r="42" spans="1:18" ht="15.75">
      <c r="A42" s="44"/>
      <c r="B42" s="86" t="s">
        <v>71</v>
      </c>
      <c r="C42" s="94"/>
      <c r="D42" s="94"/>
      <c r="E42" s="95">
        <v>318.62200000000001</v>
      </c>
      <c r="F42" s="95">
        <v>335.94200000000001</v>
      </c>
      <c r="G42" s="95">
        <v>319.13299999999998</v>
      </c>
      <c r="H42" s="95">
        <v>332.16300000000001</v>
      </c>
      <c r="I42" s="95">
        <v>355.14600000000002</v>
      </c>
      <c r="J42" s="95">
        <v>371.56799999999998</v>
      </c>
      <c r="K42" s="95">
        <v>389.584</v>
      </c>
      <c r="L42" s="95">
        <v>411.58100000000002</v>
      </c>
      <c r="M42" s="95">
        <v>436.04399999999998</v>
      </c>
      <c r="N42" s="95">
        <v>457.37700000000001</v>
      </c>
      <c r="O42" s="95">
        <v>478.31400000000002</v>
      </c>
      <c r="P42" s="95">
        <v>499.01</v>
      </c>
      <c r="Q42" s="95">
        <v>1767.5940000000001</v>
      </c>
      <c r="R42" s="66">
        <v>4049.92</v>
      </c>
    </row>
    <row r="43" spans="1:18" ht="15.75">
      <c r="A43" s="44"/>
      <c r="B43" s="86" t="s">
        <v>72</v>
      </c>
      <c r="C43" s="94"/>
      <c r="D43" s="94"/>
      <c r="E43" s="95">
        <v>-329.82499999999999</v>
      </c>
      <c r="F43" s="95">
        <v>-388.137</v>
      </c>
      <c r="G43" s="95">
        <v>-322.46899999999999</v>
      </c>
      <c r="H43" s="95">
        <v>-404.27199999999999</v>
      </c>
      <c r="I43" s="95">
        <v>-417.52600000000001</v>
      </c>
      <c r="J43" s="95">
        <v>-426.28699999999998</v>
      </c>
      <c r="K43" s="95">
        <v>-467.73599999999999</v>
      </c>
      <c r="L43" s="95">
        <v>-495.06200000000001</v>
      </c>
      <c r="M43" s="95">
        <v>-523.64300000000003</v>
      </c>
      <c r="N43" s="95">
        <v>-576.40099999999995</v>
      </c>
      <c r="O43" s="95">
        <v>-562.51300000000003</v>
      </c>
      <c r="P43" s="95">
        <v>-612.45299999999997</v>
      </c>
      <c r="Q43" s="95">
        <v>-2038.29</v>
      </c>
      <c r="R43" s="66">
        <v>-4808.3619999999992</v>
      </c>
    </row>
    <row r="44" spans="1:18" ht="3" customHeight="1">
      <c r="A44" s="70"/>
      <c r="B44" s="92"/>
      <c r="C44" s="92"/>
      <c r="D44" s="265"/>
      <c r="E44" s="71" t="s">
        <v>53</v>
      </c>
      <c r="F44" s="71" t="s">
        <v>53</v>
      </c>
      <c r="G44" s="71" t="s">
        <v>53</v>
      </c>
      <c r="H44" s="71" t="s">
        <v>53</v>
      </c>
      <c r="I44" s="71" t="s">
        <v>53</v>
      </c>
      <c r="J44" s="71" t="s">
        <v>53</v>
      </c>
      <c r="K44" s="71" t="s">
        <v>53</v>
      </c>
      <c r="L44" s="71" t="s">
        <v>53</v>
      </c>
      <c r="M44" s="71" t="s">
        <v>53</v>
      </c>
      <c r="N44" s="71" t="s">
        <v>53</v>
      </c>
      <c r="O44" s="71" t="s">
        <v>53</v>
      </c>
      <c r="P44" s="71" t="s">
        <v>53</v>
      </c>
      <c r="Q44" s="71" t="s">
        <v>53</v>
      </c>
      <c r="R44" s="72" t="s">
        <v>53</v>
      </c>
    </row>
    <row r="45" spans="1:18" ht="15.75">
      <c r="A45" s="44"/>
      <c r="B45" s="94"/>
      <c r="C45" s="86" t="s">
        <v>73</v>
      </c>
      <c r="D45" s="260"/>
      <c r="E45" s="95">
        <v>-11.202999999999975</v>
      </c>
      <c r="F45" s="95">
        <v>-52.194999999999993</v>
      </c>
      <c r="G45" s="95">
        <v>-3.3360000000000127</v>
      </c>
      <c r="H45" s="95">
        <v>-72.10899999999998</v>
      </c>
      <c r="I45" s="95">
        <v>-62.379999999999995</v>
      </c>
      <c r="J45" s="95">
        <v>-54.718999999999994</v>
      </c>
      <c r="K45" s="95">
        <v>-78.151999999999987</v>
      </c>
      <c r="L45" s="95">
        <v>-83.480999999999995</v>
      </c>
      <c r="M45" s="95">
        <v>-87.599000000000046</v>
      </c>
      <c r="N45" s="95">
        <v>-119.02399999999994</v>
      </c>
      <c r="O45" s="95">
        <v>-84.199000000000012</v>
      </c>
      <c r="P45" s="95">
        <v>-113.44299999999998</v>
      </c>
      <c r="Q45" s="95">
        <v>-270.69599999999997</v>
      </c>
      <c r="R45" s="66">
        <v>-758.44200000000001</v>
      </c>
    </row>
    <row r="46" spans="1:18" ht="15.75">
      <c r="A46" s="44"/>
      <c r="B46" s="94"/>
      <c r="C46" s="94"/>
      <c r="D46" s="94"/>
      <c r="E46" s="95"/>
      <c r="F46" s="95"/>
      <c r="G46" s="95"/>
      <c r="H46" s="95"/>
      <c r="I46" s="95"/>
      <c r="J46" s="95"/>
      <c r="K46" s="95"/>
      <c r="L46" s="95"/>
      <c r="M46" s="95"/>
      <c r="N46" s="95"/>
      <c r="O46" s="95"/>
      <c r="P46" s="95"/>
      <c r="Q46" s="95"/>
      <c r="R46" s="66"/>
    </row>
    <row r="47" spans="1:18" ht="15.75">
      <c r="A47" s="44"/>
      <c r="B47" s="86" t="s">
        <v>74</v>
      </c>
      <c r="C47" s="94"/>
      <c r="D47" s="94"/>
      <c r="E47" s="95">
        <v>6.8869999999999996</v>
      </c>
      <c r="F47" s="95">
        <v>6.5220000000000002</v>
      </c>
      <c r="G47" s="95">
        <v>5.6769999999999996</v>
      </c>
      <c r="H47" s="95">
        <v>4.7729999999999997</v>
      </c>
      <c r="I47" s="95">
        <v>2.8679999999999999</v>
      </c>
      <c r="J47" s="95">
        <v>0.621</v>
      </c>
      <c r="K47" s="95">
        <v>0</v>
      </c>
      <c r="L47" s="95">
        <v>0</v>
      </c>
      <c r="M47" s="95">
        <v>0</v>
      </c>
      <c r="N47" s="95">
        <v>0</v>
      </c>
      <c r="O47" s="95">
        <v>0</v>
      </c>
      <c r="P47" s="95">
        <v>0</v>
      </c>
      <c r="Q47" s="95">
        <v>13.939</v>
      </c>
      <c r="R47" s="66">
        <v>13.939</v>
      </c>
    </row>
    <row r="48" spans="1:18" ht="3.75" customHeight="1">
      <c r="A48" s="70"/>
      <c r="B48" s="92"/>
      <c r="C48" s="92"/>
      <c r="D48" s="265"/>
      <c r="E48" s="71" t="s">
        <v>53</v>
      </c>
      <c r="F48" s="71" t="s">
        <v>53</v>
      </c>
      <c r="G48" s="71" t="s">
        <v>53</v>
      </c>
      <c r="H48" s="71" t="s">
        <v>53</v>
      </c>
      <c r="I48" s="71" t="s">
        <v>53</v>
      </c>
      <c r="J48" s="71" t="s">
        <v>53</v>
      </c>
      <c r="K48" s="71" t="s">
        <v>53</v>
      </c>
      <c r="L48" s="71" t="s">
        <v>53</v>
      </c>
      <c r="M48" s="71" t="s">
        <v>53</v>
      </c>
      <c r="N48" s="71" t="s">
        <v>53</v>
      </c>
      <c r="O48" s="71" t="s">
        <v>53</v>
      </c>
      <c r="P48" s="71" t="s">
        <v>53</v>
      </c>
      <c r="Q48" s="71" t="s">
        <v>53</v>
      </c>
      <c r="R48" s="72" t="s">
        <v>53</v>
      </c>
    </row>
    <row r="49" spans="1:18" ht="15.75">
      <c r="A49" s="44"/>
      <c r="B49" s="94"/>
      <c r="C49" s="86" t="s">
        <v>75</v>
      </c>
      <c r="D49" s="260"/>
      <c r="E49" s="95">
        <v>-4.1800000000000068</v>
      </c>
      <c r="F49" s="95">
        <v>-45.672999999999995</v>
      </c>
      <c r="G49" s="95">
        <v>2.3409999999999869</v>
      </c>
      <c r="H49" s="95">
        <v>-67.335999999999984</v>
      </c>
      <c r="I49" s="95">
        <v>-59.511999999999993</v>
      </c>
      <c r="J49" s="95">
        <v>-54.097999999999992</v>
      </c>
      <c r="K49" s="95">
        <v>-78.151999999999987</v>
      </c>
      <c r="L49" s="95">
        <v>-83.480999999999995</v>
      </c>
      <c r="M49" s="95">
        <v>-87.599000000000046</v>
      </c>
      <c r="N49" s="95">
        <v>-119.02399999999994</v>
      </c>
      <c r="O49" s="95">
        <v>-84.199000000000012</v>
      </c>
      <c r="P49" s="95">
        <v>-113.44299999999998</v>
      </c>
      <c r="Q49" s="95">
        <v>-256.75699999999995</v>
      </c>
      <c r="R49" s="66">
        <v>-744.50300000000004</v>
      </c>
    </row>
    <row r="50" spans="1:18" ht="15.75">
      <c r="A50" s="44"/>
      <c r="B50" s="94"/>
      <c r="C50" s="94"/>
      <c r="D50" s="94"/>
      <c r="E50" s="95"/>
      <c r="F50" s="95"/>
      <c r="G50" s="95"/>
      <c r="H50" s="95"/>
      <c r="I50" s="95"/>
      <c r="J50" s="95"/>
      <c r="K50" s="95"/>
      <c r="L50" s="95"/>
      <c r="M50" s="95"/>
      <c r="N50" s="95"/>
      <c r="O50" s="95"/>
      <c r="P50" s="95"/>
      <c r="Q50" s="95"/>
      <c r="R50" s="66"/>
    </row>
    <row r="51" spans="1:18" ht="15.75">
      <c r="A51" s="59" t="s">
        <v>76</v>
      </c>
      <c r="B51" s="94"/>
      <c r="C51" s="94"/>
      <c r="D51" s="94"/>
      <c r="E51" s="95">
        <v>198.625</v>
      </c>
      <c r="F51" s="95">
        <v>152.952</v>
      </c>
      <c r="G51" s="95">
        <v>155.29299999999998</v>
      </c>
      <c r="H51" s="95">
        <v>87.956999999999994</v>
      </c>
      <c r="I51" s="95">
        <v>28.445</v>
      </c>
      <c r="J51" s="95">
        <v>0</v>
      </c>
      <c r="K51" s="95">
        <v>0</v>
      </c>
      <c r="L51" s="95">
        <v>0</v>
      </c>
      <c r="M51" s="95">
        <v>0</v>
      </c>
      <c r="N51" s="95">
        <v>0</v>
      </c>
      <c r="O51" s="95">
        <v>0</v>
      </c>
      <c r="P51" s="95">
        <v>0</v>
      </c>
      <c r="Q51" s="96" t="s">
        <v>70</v>
      </c>
      <c r="R51" s="99" t="s">
        <v>70</v>
      </c>
    </row>
    <row r="52" spans="1:18" ht="15.75">
      <c r="A52" s="44"/>
      <c r="B52" s="94"/>
      <c r="C52" s="94"/>
      <c r="D52" s="94"/>
      <c r="E52" s="95"/>
      <c r="F52" s="95"/>
      <c r="G52" s="95"/>
      <c r="H52" s="95"/>
      <c r="I52" s="95"/>
      <c r="J52" s="95"/>
      <c r="K52" s="95"/>
      <c r="L52" s="95"/>
      <c r="M52" s="95"/>
      <c r="N52" s="95"/>
      <c r="O52" s="95"/>
      <c r="P52" s="95"/>
      <c r="Q52" s="95"/>
      <c r="R52" s="66"/>
    </row>
    <row r="53" spans="1:18">
      <c r="A53" s="98"/>
      <c r="B53" s="91"/>
      <c r="C53" s="91"/>
      <c r="D53" s="387" t="s">
        <v>1</v>
      </c>
      <c r="E53" s="387"/>
      <c r="F53" s="387"/>
      <c r="G53" s="387"/>
      <c r="H53" s="387"/>
      <c r="I53" s="387"/>
      <c r="J53" s="387"/>
      <c r="K53" s="387"/>
      <c r="L53" s="387"/>
      <c r="M53" s="387"/>
      <c r="N53" s="387"/>
      <c r="O53" s="387"/>
      <c r="P53" s="387"/>
      <c r="Q53" s="387"/>
      <c r="R53" s="388"/>
    </row>
    <row r="54" spans="1:18" ht="15.75">
      <c r="A54" s="59" t="s">
        <v>69</v>
      </c>
      <c r="B54" s="94"/>
      <c r="C54" s="94"/>
      <c r="D54" s="94"/>
      <c r="E54" s="95">
        <v>98.197000000000003</v>
      </c>
      <c r="F54" s="95">
        <v>104.71599999999999</v>
      </c>
      <c r="G54" s="95">
        <v>114.64400000000001</v>
      </c>
      <c r="H54" s="95">
        <v>127.85200000000003</v>
      </c>
      <c r="I54" s="95">
        <v>108.7450000000001</v>
      </c>
      <c r="J54" s="95">
        <v>114.0450000000001</v>
      </c>
      <c r="K54" s="95">
        <v>152.35100000000008</v>
      </c>
      <c r="L54" s="95">
        <v>173.04000000000011</v>
      </c>
      <c r="M54" s="95">
        <v>193.67400000000012</v>
      </c>
      <c r="N54" s="95">
        <v>211.3420000000001</v>
      </c>
      <c r="O54" s="95">
        <v>182.19000000000011</v>
      </c>
      <c r="P54" s="95">
        <v>240.29300000000015</v>
      </c>
      <c r="Q54" s="96" t="s">
        <v>70</v>
      </c>
      <c r="R54" s="99" t="s">
        <v>70</v>
      </c>
    </row>
    <row r="55" spans="1:18" ht="15.75">
      <c r="A55" s="44"/>
      <c r="B55" s="86" t="s">
        <v>71</v>
      </c>
      <c r="C55" s="94"/>
      <c r="D55" s="94"/>
      <c r="E55" s="95">
        <v>451.95600000000002</v>
      </c>
      <c r="F55" s="95">
        <v>489.08199999999999</v>
      </c>
      <c r="G55" s="95">
        <v>505.70100000000002</v>
      </c>
      <c r="H55" s="95">
        <v>555.43100000000004</v>
      </c>
      <c r="I55" s="95">
        <v>606.59199999999998</v>
      </c>
      <c r="J55" s="95">
        <v>654.20899999999995</v>
      </c>
      <c r="K55" s="95">
        <v>716.33900000000006</v>
      </c>
      <c r="L55" s="95">
        <v>770.74099999999999</v>
      </c>
      <c r="M55" s="95">
        <v>827.27800000000002</v>
      </c>
      <c r="N55" s="95">
        <v>890.9</v>
      </c>
      <c r="O55" s="95">
        <v>951.173</v>
      </c>
      <c r="P55" s="95">
        <v>1004.1079999999999</v>
      </c>
      <c r="Q55" s="95">
        <v>3038.2719999999999</v>
      </c>
      <c r="R55" s="66">
        <v>7482.4719999999998</v>
      </c>
    </row>
    <row r="56" spans="1:18" ht="15.75">
      <c r="A56" s="44"/>
      <c r="B56" s="86" t="s">
        <v>72</v>
      </c>
      <c r="C56" s="94"/>
      <c r="D56" s="94"/>
      <c r="E56" s="95">
        <v>-452.726</v>
      </c>
      <c r="F56" s="95">
        <v>-481.46</v>
      </c>
      <c r="G56" s="95">
        <v>-495</v>
      </c>
      <c r="H56" s="95">
        <v>-577.04</v>
      </c>
      <c r="I56" s="95">
        <v>-603.91899999999998</v>
      </c>
      <c r="J56" s="95">
        <v>-618.65499999999997</v>
      </c>
      <c r="K56" s="95">
        <v>-699.12400000000002</v>
      </c>
      <c r="L56" s="95">
        <v>-754.12099999999998</v>
      </c>
      <c r="M56" s="95">
        <v>-814.17100000000005</v>
      </c>
      <c r="N56" s="95">
        <v>-924.63099999999997</v>
      </c>
      <c r="O56" s="95">
        <v>-898.05899999999997</v>
      </c>
      <c r="P56" s="95">
        <v>-1009.902</v>
      </c>
      <c r="Q56" s="95">
        <v>-2993.7379999999994</v>
      </c>
      <c r="R56" s="66">
        <v>-7394.6220000000003</v>
      </c>
    </row>
    <row r="57" spans="1:18" ht="6" customHeight="1">
      <c r="A57" s="70"/>
      <c r="B57" s="92"/>
      <c r="C57" s="92"/>
      <c r="D57" s="265"/>
      <c r="E57" s="71" t="s">
        <v>53</v>
      </c>
      <c r="F57" s="71" t="s">
        <v>53</v>
      </c>
      <c r="G57" s="71" t="s">
        <v>53</v>
      </c>
      <c r="H57" s="71" t="s">
        <v>53</v>
      </c>
      <c r="I57" s="71" t="s">
        <v>53</v>
      </c>
      <c r="J57" s="71" t="s">
        <v>53</v>
      </c>
      <c r="K57" s="71" t="s">
        <v>53</v>
      </c>
      <c r="L57" s="71" t="s">
        <v>53</v>
      </c>
      <c r="M57" s="71" t="s">
        <v>53</v>
      </c>
      <c r="N57" s="71" t="s">
        <v>53</v>
      </c>
      <c r="O57" s="71" t="s">
        <v>53</v>
      </c>
      <c r="P57" s="71" t="s">
        <v>53</v>
      </c>
      <c r="Q57" s="71" t="s">
        <v>53</v>
      </c>
      <c r="R57" s="72" t="s">
        <v>53</v>
      </c>
    </row>
    <row r="58" spans="1:18" ht="15.75">
      <c r="A58" s="44"/>
      <c r="B58" s="94"/>
      <c r="C58" s="86" t="s">
        <v>77</v>
      </c>
      <c r="D58" s="260"/>
      <c r="E58" s="95">
        <v>-0.7782</v>
      </c>
      <c r="F58" s="95">
        <v>7.6219999999999999</v>
      </c>
      <c r="G58" s="95">
        <v>10.701000000000022</v>
      </c>
      <c r="H58" s="95">
        <v>-21.609000000000002</v>
      </c>
      <c r="I58" s="95">
        <v>2.6730000000000018</v>
      </c>
      <c r="J58" s="95">
        <v>35.553999999999974</v>
      </c>
      <c r="K58" s="95">
        <v>17.215000000000032</v>
      </c>
      <c r="L58" s="95">
        <v>16.620000000000005</v>
      </c>
      <c r="M58" s="95">
        <v>13.106999999999971</v>
      </c>
      <c r="N58" s="95">
        <v>-33.730999999999995</v>
      </c>
      <c r="O58" s="95">
        <v>53.114000000000033</v>
      </c>
      <c r="P58" s="95">
        <v>-5.7939999999999996</v>
      </c>
      <c r="Q58" s="95">
        <v>44.533999999999999</v>
      </c>
      <c r="R58" s="66">
        <v>87.850000000000023</v>
      </c>
    </row>
    <row r="59" spans="1:18" ht="15.75">
      <c r="A59" s="44"/>
      <c r="B59" s="94"/>
      <c r="C59" s="94"/>
      <c r="D59" s="94"/>
      <c r="E59" s="95"/>
      <c r="F59" s="95"/>
      <c r="G59" s="95"/>
      <c r="H59" s="95"/>
      <c r="I59" s="95"/>
      <c r="J59" s="95"/>
      <c r="K59" s="95"/>
      <c r="L59" s="95"/>
      <c r="M59" s="95"/>
      <c r="N59" s="95"/>
      <c r="O59" s="95"/>
      <c r="P59" s="95"/>
      <c r="Q59" s="95"/>
      <c r="R59" s="66"/>
    </row>
    <row r="60" spans="1:18" ht="15.75">
      <c r="A60" s="44"/>
      <c r="B60" s="86" t="s">
        <v>74</v>
      </c>
      <c r="C60" s="94"/>
      <c r="D60" s="94"/>
      <c r="E60" s="95">
        <v>2.722</v>
      </c>
      <c r="F60" s="95">
        <v>2.306</v>
      </c>
      <c r="G60" s="95">
        <v>2.5070000000000001</v>
      </c>
      <c r="H60" s="95">
        <v>2.5019999999999998</v>
      </c>
      <c r="I60" s="95">
        <v>2.6269999999999998</v>
      </c>
      <c r="J60" s="95">
        <v>2.7519999999999998</v>
      </c>
      <c r="K60" s="95">
        <v>3.4740000000000002</v>
      </c>
      <c r="L60" s="95">
        <v>4.0140000000000002</v>
      </c>
      <c r="M60" s="95">
        <v>4.5609999999999999</v>
      </c>
      <c r="N60" s="95">
        <v>4.5789999999999997</v>
      </c>
      <c r="O60" s="95">
        <v>4.9889999999999999</v>
      </c>
      <c r="P60" s="95">
        <v>5.8890000000000002</v>
      </c>
      <c r="Q60" s="95">
        <v>13.862</v>
      </c>
      <c r="R60" s="66">
        <v>37.894000000000005</v>
      </c>
    </row>
    <row r="61" spans="1:18" ht="3" customHeight="1">
      <c r="A61" s="70"/>
      <c r="B61" s="92"/>
      <c r="C61" s="92"/>
      <c r="D61" s="265"/>
      <c r="E61" s="71" t="s">
        <v>53</v>
      </c>
      <c r="F61" s="71" t="s">
        <v>53</v>
      </c>
      <c r="G61" s="71" t="s">
        <v>53</v>
      </c>
      <c r="H61" s="71" t="s">
        <v>53</v>
      </c>
      <c r="I61" s="71" t="s">
        <v>53</v>
      </c>
      <c r="J61" s="71" t="s">
        <v>53</v>
      </c>
      <c r="K61" s="71" t="s">
        <v>53</v>
      </c>
      <c r="L61" s="71" t="s">
        <v>53</v>
      </c>
      <c r="M61" s="71" t="s">
        <v>53</v>
      </c>
      <c r="N61" s="71" t="s">
        <v>53</v>
      </c>
      <c r="O61" s="71" t="s">
        <v>53</v>
      </c>
      <c r="P61" s="71" t="s">
        <v>53</v>
      </c>
      <c r="Q61" s="71" t="s">
        <v>53</v>
      </c>
      <c r="R61" s="72" t="s">
        <v>53</v>
      </c>
    </row>
    <row r="62" spans="1:18" ht="15.75">
      <c r="A62" s="44"/>
      <c r="B62" s="94"/>
      <c r="C62" s="86" t="s">
        <v>75</v>
      </c>
      <c r="D62" s="260"/>
      <c r="E62" s="95">
        <v>6.5190000000000001</v>
      </c>
      <c r="F62" s="95">
        <v>9.9280000000000008</v>
      </c>
      <c r="G62" s="95">
        <v>13.208000000000022</v>
      </c>
      <c r="H62" s="95">
        <v>-19.106999999999999</v>
      </c>
      <c r="I62" s="95">
        <v>5.3000000000000016</v>
      </c>
      <c r="J62" s="95">
        <v>38.305999999999976</v>
      </c>
      <c r="K62" s="95">
        <v>20.689000000000032</v>
      </c>
      <c r="L62" s="95">
        <v>20.634000000000004</v>
      </c>
      <c r="M62" s="95">
        <v>17.667999999999971</v>
      </c>
      <c r="N62" s="95">
        <v>-29.151999999999994</v>
      </c>
      <c r="O62" s="95">
        <v>58.10300000000003</v>
      </c>
      <c r="P62" s="95">
        <v>9.4999999999903828E-2</v>
      </c>
      <c r="Q62" s="95">
        <v>58.3960000000001</v>
      </c>
      <c r="R62" s="66">
        <v>125.74400000000003</v>
      </c>
    </row>
    <row r="63" spans="1:18" ht="15.75">
      <c r="A63" s="44"/>
      <c r="B63" s="94"/>
      <c r="C63" s="94"/>
      <c r="D63" s="94"/>
      <c r="E63" s="95"/>
      <c r="F63" s="95"/>
      <c r="G63" s="95"/>
      <c r="H63" s="95"/>
      <c r="I63" s="95"/>
      <c r="J63" s="95"/>
      <c r="K63" s="95"/>
      <c r="L63" s="95"/>
      <c r="M63" s="95"/>
      <c r="N63" s="95"/>
      <c r="O63" s="95"/>
      <c r="P63" s="95"/>
      <c r="Q63" s="95"/>
      <c r="R63" s="66"/>
    </row>
    <row r="64" spans="1:18" ht="16.5" thickBot="1">
      <c r="A64" s="73" t="s">
        <v>76</v>
      </c>
      <c r="B64" s="100"/>
      <c r="C64" s="100"/>
      <c r="D64" s="100"/>
      <c r="E64" s="101">
        <v>104.71599999999999</v>
      </c>
      <c r="F64" s="101">
        <v>114.64400000000001</v>
      </c>
      <c r="G64" s="101">
        <v>127.85200000000003</v>
      </c>
      <c r="H64" s="101">
        <v>108.7450000000001</v>
      </c>
      <c r="I64" s="101">
        <v>114.0450000000001</v>
      </c>
      <c r="J64" s="101">
        <v>152.35100000000008</v>
      </c>
      <c r="K64" s="101">
        <v>173.04000000000011</v>
      </c>
      <c r="L64" s="101">
        <v>193.67400000000012</v>
      </c>
      <c r="M64" s="101">
        <v>211.3420000000001</v>
      </c>
      <c r="N64" s="101">
        <v>182.19000000000011</v>
      </c>
      <c r="O64" s="101">
        <v>240.29300000000015</v>
      </c>
      <c r="P64" s="101">
        <v>240.38800000000006</v>
      </c>
      <c r="Q64" s="102" t="s">
        <v>70</v>
      </c>
      <c r="R64" s="103" t="s">
        <v>70</v>
      </c>
    </row>
    <row r="65" spans="1:17" ht="15.75" thickTop="1">
      <c r="A65" s="79"/>
      <c r="B65" s="79"/>
      <c r="C65" s="79"/>
      <c r="D65" s="79"/>
      <c r="E65" s="79"/>
      <c r="F65" s="79"/>
      <c r="G65" s="79"/>
      <c r="H65" s="79"/>
      <c r="I65" s="79"/>
      <c r="J65" s="79"/>
      <c r="K65" s="79"/>
      <c r="L65" s="79"/>
      <c r="M65" s="79"/>
      <c r="N65" s="79"/>
      <c r="O65" s="79"/>
      <c r="P65" s="79"/>
      <c r="Q65" s="79"/>
    </row>
    <row r="66" spans="1:17">
      <c r="A66" s="390" t="s">
        <v>63</v>
      </c>
      <c r="B66" s="390"/>
      <c r="C66" s="390"/>
      <c r="D66" s="390"/>
      <c r="E66" s="390"/>
      <c r="F66" s="390"/>
      <c r="G66" s="390"/>
      <c r="H66" s="390"/>
      <c r="I66" s="390"/>
      <c r="J66" s="390"/>
      <c r="K66" s="390"/>
      <c r="L66" s="390"/>
      <c r="M66" s="390"/>
      <c r="N66" s="390"/>
      <c r="O66" s="390"/>
      <c r="P66" s="390"/>
      <c r="Q66" s="390"/>
    </row>
    <row r="67" spans="1:17">
      <c r="A67" s="104"/>
      <c r="B67" s="104"/>
      <c r="C67" s="104"/>
      <c r="D67" s="104"/>
      <c r="E67" s="104"/>
      <c r="F67" s="104"/>
      <c r="G67" s="104"/>
      <c r="H67" s="104"/>
      <c r="I67" s="104"/>
      <c r="J67" s="104"/>
      <c r="K67" s="104"/>
      <c r="L67" s="104"/>
      <c r="M67" s="104"/>
      <c r="N67" s="104"/>
      <c r="O67" s="104"/>
      <c r="P67" s="104"/>
      <c r="Q67" s="104"/>
    </row>
    <row r="68" spans="1:17">
      <c r="A68" s="391" t="s">
        <v>78</v>
      </c>
      <c r="B68" s="391"/>
      <c r="C68" s="391"/>
      <c r="D68" s="391"/>
      <c r="E68" s="391"/>
      <c r="F68" s="391"/>
      <c r="G68" s="391"/>
      <c r="H68" s="391"/>
      <c r="I68" s="391"/>
      <c r="J68" s="391"/>
      <c r="K68" s="391"/>
      <c r="L68" s="391"/>
      <c r="M68" s="391"/>
      <c r="N68" s="391"/>
      <c r="O68" s="391"/>
      <c r="P68" s="391"/>
      <c r="Q68" s="391"/>
    </row>
    <row r="69" spans="1:17">
      <c r="A69" s="105"/>
      <c r="B69" s="105"/>
      <c r="C69" s="105"/>
      <c r="D69" s="105"/>
      <c r="E69" s="105"/>
      <c r="F69" s="105"/>
      <c r="G69" s="105"/>
      <c r="H69" s="105"/>
      <c r="I69" s="105"/>
      <c r="J69" s="105"/>
      <c r="K69" s="105"/>
      <c r="L69" s="105"/>
      <c r="M69" s="105"/>
      <c r="N69" s="105"/>
      <c r="O69" s="105"/>
      <c r="P69" s="105"/>
      <c r="Q69" s="105"/>
    </row>
    <row r="70" spans="1:17">
      <c r="A70" s="392" t="s">
        <v>79</v>
      </c>
      <c r="B70" s="392"/>
      <c r="C70" s="392"/>
      <c r="D70" s="392"/>
      <c r="E70" s="392"/>
      <c r="F70" s="392"/>
      <c r="G70" s="392"/>
      <c r="H70" s="392"/>
      <c r="I70" s="392"/>
      <c r="J70" s="392"/>
      <c r="K70" s="392"/>
      <c r="L70" s="392"/>
      <c r="M70" s="392"/>
      <c r="N70" s="392"/>
      <c r="O70" s="392"/>
      <c r="P70" s="392"/>
      <c r="Q70" s="392"/>
    </row>
    <row r="71" spans="1:17" ht="69.75" customHeight="1">
      <c r="A71" s="389" t="s">
        <v>80</v>
      </c>
      <c r="B71" s="389"/>
      <c r="C71" s="389"/>
      <c r="D71" s="389"/>
      <c r="E71" s="389"/>
      <c r="F71" s="389"/>
      <c r="G71" s="389"/>
      <c r="H71" s="389"/>
      <c r="I71" s="389"/>
      <c r="J71" s="389"/>
      <c r="K71" s="389"/>
      <c r="L71" s="389"/>
      <c r="M71" s="389"/>
      <c r="N71" s="389"/>
      <c r="O71" s="389"/>
      <c r="P71" s="389"/>
      <c r="Q71" s="389"/>
    </row>
  </sheetData>
  <mergeCells count="23">
    <mergeCell ref="A1:P1"/>
    <mergeCell ref="A2:P2"/>
    <mergeCell ref="A3:P3"/>
    <mergeCell ref="A13:P13"/>
    <mergeCell ref="A14:P14"/>
    <mergeCell ref="C11:D11"/>
    <mergeCell ref="A16:R16"/>
    <mergeCell ref="A17:R17"/>
    <mergeCell ref="Q20:R20"/>
    <mergeCell ref="A18:R18"/>
    <mergeCell ref="A29:R29"/>
    <mergeCell ref="A30:R30"/>
    <mergeCell ref="A31:R31"/>
    <mergeCell ref="A33:R33"/>
    <mergeCell ref="A34:R34"/>
    <mergeCell ref="A35:R35"/>
    <mergeCell ref="Q37:R37"/>
    <mergeCell ref="D40:R40"/>
    <mergeCell ref="D53:R53"/>
    <mergeCell ref="A71:Q71"/>
    <mergeCell ref="A66:Q66"/>
    <mergeCell ref="A68:Q68"/>
    <mergeCell ref="A70:Q7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Activity_x0020_Status xmlns="7d0fc61f-c9aa-4ed3-8e60-54ec59d8ad7f" xsi:nil="true"/>
    <CategoryDescription xmlns="http://schemas.microsoft.com/sharepoint.v3" xsi:nil="true"/>
    <Estimated_x0020_Deadline xmlns="7d0fc61f-c9aa-4ed3-8e60-54ec59d8ad7f" xsi:nil="true"/>
    <Published_x0020_Date xmlns="7d0fc61f-c9aa-4ed3-8e60-54ec59d8ad7f">2020-12-10T21:31:40+00:00</Published_x0020_Date>
    <Add_x0020_to_x0020_Calendar_x003f_ xmlns="7d0fc61f-c9aa-4ed3-8e60-54ec59d8ad7f">true</Add_x0020_to_x0020_Calendar_x003f_>
    <BPC_x0020_Department1 xmlns="7d0fc61f-c9aa-4ed3-8e60-54ec59d8ad7f" xsi:nil="true"/>
    <_DCDateCreat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 BPC" ma:contentTypeID="0x01010028FC0F30F4C9AA4DAA68674F135280B6006D43F71428E17743B058C899C58F807C" ma:contentTypeVersion="22" ma:contentTypeDescription="General Template for General Document" ma:contentTypeScope="" ma:versionID="72f7614c12a494a2d1f17c1f698221e2">
  <xsd:schema xmlns:xsd="http://www.w3.org/2001/XMLSchema" xmlns:xs="http://www.w3.org/2001/XMLSchema" xmlns:p="http://schemas.microsoft.com/office/2006/metadata/properties" xmlns:ns1="http://schemas.microsoft.com/sharepoint/v3" xmlns:ns2="http://schemas.microsoft.com/sharepoint/v3/fields" xmlns:ns3="7d0fc61f-c9aa-4ed3-8e60-54ec59d8ad7f" xmlns:ns4="http://schemas.microsoft.com/sharepoint.v3" xmlns:ns5="b53dce0c-dd19-4dd5-8ffc-36379753dc62" targetNamespace="http://schemas.microsoft.com/office/2006/metadata/properties" ma:root="true" ma:fieldsID="8f547c39c7768e7d0a8eaeebf16d5750" ns1:_="" ns2:_="" ns3:_="" ns4:_="" ns5:_="">
    <xsd:import namespace="http://schemas.microsoft.com/sharepoint/v3"/>
    <xsd:import namespace="http://schemas.microsoft.com/sharepoint/v3/fields"/>
    <xsd:import namespace="7d0fc61f-c9aa-4ed3-8e60-54ec59d8ad7f"/>
    <xsd:import namespace="http://schemas.microsoft.com/sharepoint.v3"/>
    <xsd:import namespace="b53dce0c-dd19-4dd5-8ffc-36379753dc62"/>
    <xsd:element name="properties">
      <xsd:complexType>
        <xsd:sequence>
          <xsd:element name="documentManagement">
            <xsd:complexType>
              <xsd:all>
                <xsd:element ref="ns2:_DCDateCreated" minOccurs="0"/>
                <xsd:element ref="ns3:Estimated_x0020_Deadline" minOccurs="0"/>
                <xsd:element ref="ns3:Published_x0020_Date" minOccurs="0"/>
                <xsd:element ref="ns3:BPC_x0020_Department1" minOccurs="0"/>
                <xsd:element ref="ns4:CategoryDescription" minOccurs="0"/>
                <xsd:element ref="ns3:Activity_x0020_Status" minOccurs="0"/>
                <xsd:element ref="ns3:Add_x0020_to_x0020_Calendar_x003f_" minOccurs="0"/>
                <xsd:element ref="ns1:URL" minOccurs="0"/>
                <xsd:element ref="ns3:LastSharedByUser" minOccurs="0"/>
                <xsd:element ref="ns3:LastSharedByTime" minOccurs="0"/>
                <xsd:element ref="ns5:MediaServiceMetadata" minOccurs="0"/>
                <xsd:element ref="ns5:MediaServiceFastMetadata"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5:MediaServiceLocation"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9"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2" nillable="true" ma:displayName="Date Created" ma:description="The date on which this resource was created" ma:format="DateTim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d0fc61f-c9aa-4ed3-8e60-54ec59d8ad7f" elementFormDefault="qualified">
    <xsd:import namespace="http://schemas.microsoft.com/office/2006/documentManagement/types"/>
    <xsd:import namespace="http://schemas.microsoft.com/office/infopath/2007/PartnerControls"/>
    <xsd:element name="Estimated_x0020_Deadline" ma:index="3" nillable="true" ma:displayName="Estimated Deadline" ma:format="DateOnly" ma:indexed="true" ma:internalName="Estimated_x0020_Deadline">
      <xsd:simpleType>
        <xsd:restriction base="dms:DateTime"/>
      </xsd:simpleType>
    </xsd:element>
    <xsd:element name="Published_x0020_Date" ma:index="4" nillable="true" ma:displayName="Published Date" ma:default="[today]" ma:format="DateOnly" ma:internalName="Published_x0020_Date">
      <xsd:simpleType>
        <xsd:restriction base="dms:DateTime"/>
      </xsd:simpleType>
    </xsd:element>
    <xsd:element name="BPC_x0020_Department1" ma:index="5" nillable="true" ma:displayName="BPC Department" ma:description="2016 for content types" ma:list="{a26343cc-c99f-46ba-9183-ccb3b4426865}" ma:internalName="BPC_x0020_Department1" ma:showField="Title" ma:web="7d0fc61f-c9aa-4ed3-8e60-54ec59d8ad7f">
      <xsd:simpleType>
        <xsd:restriction base="dms:Lookup"/>
      </xsd:simpleType>
    </xsd:element>
    <xsd:element name="Activity_x0020_Status" ma:index="7" nillable="true" ma:displayName="Activity Status" ma:internalName="Activity_x0020_Status">
      <xsd:simpleType>
        <xsd:restriction base="dms:Text">
          <xsd:maxLength value="255"/>
        </xsd:restriction>
      </xsd:simpleType>
    </xsd:element>
    <xsd:element name="Add_x0020_to_x0020_Calendar_x003f_" ma:index="8" nillable="true" ma:displayName="Add to Calendar?" ma:default="1" ma:description="Add this item to the Coordination's Calendar?" ma:internalName="Add_x0020_to_x0020_Calendar_x003F_">
      <xsd:simpleType>
        <xsd:restriction base="dms:Boolea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3dce0c-dd19-4dd5-8ffc-36379753dc62"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3E573-2D8E-4487-95F7-9689A3F299E7}">
  <ds:schemaRefs>
    <ds:schemaRef ds:uri="http://schemas.microsoft.com/office/2006/documentManagement/types"/>
    <ds:schemaRef ds:uri="http://schemas.microsoft.com/sharepoint.v3"/>
    <ds:schemaRef ds:uri="http://purl.org/dc/terms/"/>
    <ds:schemaRef ds:uri="http://purl.org/dc/dcmitype/"/>
    <ds:schemaRef ds:uri="http://schemas.microsoft.com/sharepoint/v3"/>
    <ds:schemaRef ds:uri="http://schemas.microsoft.com/sharepoint/v3/fields"/>
    <ds:schemaRef ds:uri="http://purl.org/dc/elements/1.1/"/>
    <ds:schemaRef ds:uri="http://schemas.microsoft.com/office/infopath/2007/PartnerControls"/>
    <ds:schemaRef ds:uri="http://schemas.openxmlformats.org/package/2006/metadata/core-properties"/>
    <ds:schemaRef ds:uri="b53dce0c-dd19-4dd5-8ffc-36379753dc62"/>
    <ds:schemaRef ds:uri="7d0fc61f-c9aa-4ed3-8e60-54ec59d8ad7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F6451F0-867A-4A7E-A3FF-724FCF18CD63}">
  <ds:schemaRefs>
    <ds:schemaRef ds:uri="http://schemas.microsoft.com/sharepoint/v3/contenttype/forms"/>
  </ds:schemaRefs>
</ds:datastoreItem>
</file>

<file path=customXml/itemProps3.xml><?xml version="1.0" encoding="utf-8"?>
<ds:datastoreItem xmlns:ds="http://schemas.openxmlformats.org/officeDocument/2006/customXml" ds:itemID="{6193F9C2-E4F5-4501-898B-9FC7D3186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7d0fc61f-c9aa-4ed3-8e60-54ec59d8ad7f"/>
    <ds:schemaRef ds:uri="http://schemas.microsoft.com/sharepoint.v3"/>
    <ds:schemaRef ds:uri="b53dce0c-dd19-4dd5-8ffc-36379753dc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Insolvency Years and Savings</vt:lpstr>
      <vt:lpstr>Proposals</vt:lpstr>
      <vt:lpstr>Calculations</vt:lpstr>
      <vt:lpstr>CBO Feb '21 Trust Fund Proj.</vt:lpstr>
      <vt:lpstr>CBO Sept '20 Baseline Proj.</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Wu</dc:creator>
  <cp:keywords/>
  <dc:description/>
  <cp:lastModifiedBy>Kevin Wu</cp:lastModifiedBy>
  <cp:revision/>
  <cp:lastPrinted>2021-02-01T14:19:29Z</cp:lastPrinted>
  <dcterms:created xsi:type="dcterms:W3CDTF">2020-12-10T16:37:55Z</dcterms:created>
  <dcterms:modified xsi:type="dcterms:W3CDTF">2021-05-26T18:53:54Z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0x01010028FC0F30F4C9AA4DAA68674F135280B6006D43F71428E17743B058C899C58F807C</vt:lpwstr>
  </property>
  <property fmtid="{D5CDD505-2E9C-101B-9397-08002B2CF9AE}" pid="3" name="SharedWithUsers">
    <vt:lpwstr>4916;#Nicko Gladstone;#1772;#Marilyn Serafini;#4726;#Alejandro Marquez</vt:lpwstr>
  </property>
</Properties>
</file>